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2" yWindow="96" windowWidth="16380" windowHeight="8196" tabRatio="427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дотации'!$A$1:$GL$21</definedName>
  </definedNames>
  <calcPr calcId="145621"/>
</workbook>
</file>

<file path=xl/calcChain.xml><?xml version="1.0" encoding="utf-8"?>
<calcChain xmlns="http://schemas.openxmlformats.org/spreadsheetml/2006/main">
  <c r="GN21" i="4" l="1"/>
  <c r="F18" i="2" l="1"/>
  <c r="F17" i="2"/>
  <c r="F16" i="2"/>
  <c r="F15" i="2"/>
  <c r="F14" i="2"/>
  <c r="F13" i="2"/>
  <c r="F12" i="2"/>
  <c r="F11" i="2"/>
  <c r="F10" i="2"/>
  <c r="F9" i="2"/>
  <c r="F8" i="2"/>
  <c r="F7" i="2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D23" i="1" l="1"/>
  <c r="C23" i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J21" i="4" s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F20" i="4" s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<sst xmlns="http://schemas.openxmlformats.org/spreadsheetml/2006/main" count="1513" uniqueCount="211">
  <si>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</si>
  <si>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</si>
  <si>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</si>
  <si>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</si>
  <si>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</si>
  <si>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</si>
  <si>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</si>
  <si>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</si>
  <si>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</si>
  <si>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</si>
  <si>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</si>
  <si>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</si>
  <si>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</si>
  <si>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</si>
  <si>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</si>
  <si>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</si>
  <si>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</si>
  <si>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</si>
  <si>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</si>
  <si>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</si>
  <si>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</si>
  <si>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</si>
  <si>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</si>
  <si>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</si>
  <si>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</si>
  <si>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</si>
  <si>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</si>
  <si>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</si>
  <si>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</si>
  <si>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</si>
  <si>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</si>
  <si>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</si>
  <si>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</si>
  <si>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</si>
  <si>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</si>
  <si>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</si>
  <si>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</si>
  <si>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</si>
  <si>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</si>
  <si>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</si>
  <si>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</si>
  <si>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</si>
  <si>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</si>
  <si>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</si>
  <si>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</si>
  <si>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</si>
  <si>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</si>
  <si>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</si>
  <si>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</si>
  <si>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</si>
  <si>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</si>
  <si>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</si>
  <si>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</si>
  <si>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</si>
  <si>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</si>
  <si>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</si>
  <si>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</si>
  <si>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</si>
  <si>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</si>
  <si>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</si>
  <si>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</si>
  <si>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</si>
  <si>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</si>
  <si>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</si>
  <si>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</si>
  <si>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</si>
  <si>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</si>
  <si>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</si>
  <si>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</si>
  <si>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</si>
  <si>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</si>
  <si>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</si>
  <si>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</si>
  <si>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</si>
  <si>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</si>
  <si>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</si>
  <si>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</si>
  <si>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</si>
  <si>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</si>
  <si>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</si>
  <si>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</si>
  <si>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</si>
  <si>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</si>
  <si>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</si>
  <si>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</si>
  <si>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</si>
  <si>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</si>
  <si>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</si>
  <si>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</si>
  <si>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</si>
  <si>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</si>
  <si>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</si>
  <si>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</si>
  <si>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</si>
  <si>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</si>
  <si>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</si>
  <si>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</si>
  <si>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</si>
  <si>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</si>
  <si>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</si>
  <si>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</si>
  <si>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</si>
  <si>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</si>
  <si>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</si>
  <si>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</si>
  <si>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</si>
  <si>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</si>
  <si>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</si>
  <si>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</si>
  <si>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</si>
  <si>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</si>
  <si>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</si>
  <si>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</si>
  <si>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</si>
  <si>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</si>
  <si>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</si>
  <si>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</si>
  <si>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</si>
  <si>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</si>
  <si>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</si>
  <si>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</si>
  <si>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</si>
  <si>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</si>
  <si>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</si>
  <si>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</si>
  <si>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</si>
  <si>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</si>
  <si>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</si>
  <si>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</si>
  <si>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</si>
  <si>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</si>
  <si>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</si>
  <si>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</si>
  <si>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</si>
  <si>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</si>
  <si>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</si>
  <si>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</si>
  <si>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</si>
  <si>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</si>
  <si>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</si>
  <si>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</si>
  <si>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</si>
  <si>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</si>
  <si>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</si>
  <si>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</si>
  <si>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</si>
  <si>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</si>
  <si>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</si>
  <si>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</si>
  <si>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</si>
  <si>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</si>
  <si>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</si>
  <si>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</si>
  <si>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</si>
  <si>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</si>
  <si>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</si>
  <si>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</si>
  <si>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</si>
  <si>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</si>
  <si>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</si>
  <si>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</si>
  <si>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</si>
  <si>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</si>
  <si>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</si>
  <si>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</si>
  <si>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</si>
  <si>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</si>
  <si>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</si>
  <si>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</si>
  <si>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</si>
  <si>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</si>
  <si>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</si>
  <si>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</si>
  <si>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</si>
  <si>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</si>
  <si>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</si>
  <si>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</si>
  <si>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</si>
  <si>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</si>
  <si>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</si>
  <si>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</si>
  <si>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</si>
  <si>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</si>
  <si>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</si>
  <si>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</si>
  <si>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</si>
  <si>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</si>
  <si>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</si>
  <si>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</si>
  <si>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</si>
  <si>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</si>
  <si>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</si>
  <si>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</si>
  <si>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</si>
  <si>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</si>
  <si>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</si>
  <si>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</si>
  <si>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</si>
  <si>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</si>
  <si>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</si>
  <si>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</si>
  <si>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</si>
  <si>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</si>
  <si>
    <t>на 01.01.2024</t>
  </si>
  <si>
    <t>2027 год</t>
  </si>
  <si>
    <t>Общая площадь земель на 01.01.2024</t>
  </si>
  <si>
    <t>Наружный строительный объем отапливаемых зданий на 01.01.2024</t>
  </si>
  <si>
    <t>Различия поселений Омской области по количеству населенных пунктов на 01.01.2024</t>
  </si>
  <si>
    <t>Расстояние от районного центра на 01.01.2024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</si>
  <si>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2027 год</t>
  </si>
  <si>
    <t>Решении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</si>
</sst>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&quot;&quot;#,##0.00"/>
    <numFmt numFmtId="175" formatCode="#,##0.000"/>
  </numFmts>
  <fonts count="46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2">
      <alignment vertical="center" wrapText="1"/>
    </xf>
  </cellStyleXfs>
  <cellXfs count="25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4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3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165" fontId="30" fillId="26" borderId="28" xfId="0" applyNumberFormat="1" applyFont="1" applyFill="1" applyBorder="1" applyAlignment="1">
      <alignment horizontal="right" vertical="center"/>
    </xf>
    <xf numFmtId="0" fontId="18" fillId="39" borderId="11" xfId="0" applyFont="1" applyFill="1" applyBorder="1" applyAlignment="1">
      <alignment horizontal="center" vertical="center" wrapText="1"/>
    </xf>
    <xf numFmtId="0" fontId="32" fillId="39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3" fontId="18" fillId="34" borderId="38" xfId="0" applyNumberFormat="1" applyFont="1" applyFill="1" applyBorder="1" applyAlignment="1">
      <alignment vertical="center"/>
    </xf>
    <xf numFmtId="3" fontId="18" fillId="34" borderId="37" xfId="0" applyNumberFormat="1" applyFont="1" applyFill="1" applyBorder="1" applyAlignment="1">
      <alignment vertical="center"/>
    </xf>
    <xf numFmtId="3" fontId="21" fillId="36" borderId="55" xfId="0" applyNumberFormat="1" applyFont="1" applyFill="1" applyBorder="1" applyAlignment="1">
      <alignment horizontal="right" vertical="center"/>
    </xf>
    <xf numFmtId="174" fontId="44" fillId="0" borderId="10" xfId="0" applyNumberFormat="1" applyFont="1" applyBorder="1" applyAlignment="1">
      <alignment horizontal="right" vertical="center" wrapText="1"/>
    </xf>
    <xf numFmtId="175" fontId="21" fillId="47" borderId="35" xfId="0" applyNumberFormat="1" applyFont="1" applyFill="1" applyBorder="1" applyAlignment="1">
      <alignment vertical="center"/>
    </xf>
    <xf numFmtId="175" fontId="21" fillId="47" borderId="11" xfId="0" applyNumberFormat="1" applyFont="1" applyFill="1" applyBorder="1" applyAlignment="1">
      <alignment vertical="center"/>
    </xf>
    <xf numFmtId="175" fontId="21" fillId="47" borderId="25" xfId="0" applyNumberFormat="1" applyFont="1" applyFill="1" applyBorder="1" applyAlignment="1">
      <alignment vertical="center"/>
    </xf>
    <xf numFmtId="174" fontId="45" fillId="0" borderId="10" xfId="0" applyNumberFormat="1" applyFont="1" applyBorder="1" applyAlignment="1">
      <alignment horizontal="right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B23"/>
  <sheetViews>
    <sheetView tabSelected="1" view="pageBreakPreview" zoomScale="75" zoomScaleNormal="90" zoomScaleSheetLayoutView="75" workbookViewId="0">
      <selection activeCell="D23" sqref="D23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7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6" width="9.109375" style="1"/>
  </cols>
  <sheetData>
    <row r="2" spans="1:10" s="4" customFormat="1" ht="27" customHeight="1" x14ac:dyDescent="0.25">
      <c r="A2" s="196" t="s">
        <v>75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 s="4" customFormat="1" ht="16.8" x14ac:dyDescent="0.25">
      <c r="B3" s="189"/>
      <c r="C3" s="189"/>
      <c r="D3" s="189"/>
      <c r="E3" s="189"/>
      <c r="F3" s="189"/>
      <c r="G3" s="189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3" t="s">
        <v>0</v>
      </c>
      <c r="B5" s="190" t="s">
        <v>7</v>
      </c>
      <c r="C5" s="193" t="s">
        <v>56</v>
      </c>
      <c r="D5" s="194"/>
      <c r="E5" s="194"/>
      <c r="F5" s="194"/>
      <c r="G5" s="194"/>
      <c r="H5" s="194"/>
      <c r="I5" s="194"/>
      <c r="J5" s="195"/>
    </row>
    <row r="6" spans="1:10" s="7" customFormat="1" ht="51.75" customHeight="1" x14ac:dyDescent="0.25">
      <c r="A6" s="204"/>
      <c r="B6" s="191"/>
      <c r="C6" s="95" t="s">
        <v>199</v>
      </c>
      <c r="D6" s="95" t="s">
        <v>62</v>
      </c>
      <c r="E6" s="197" t="s">
        <v>73</v>
      </c>
      <c r="F6" s="198"/>
      <c r="G6" s="198"/>
      <c r="H6" s="198"/>
      <c r="I6" s="198"/>
      <c r="J6" s="199"/>
    </row>
    <row r="7" spans="1:10" s="7" customFormat="1" ht="38.4" customHeight="1" thickBot="1" x14ac:dyDescent="0.3">
      <c r="A7" s="204"/>
      <c r="B7" s="191"/>
      <c r="C7" s="96" t="s">
        <v>203</v>
      </c>
      <c r="D7" s="98" t="s">
        <v>204</v>
      </c>
      <c r="E7" s="200"/>
      <c r="F7" s="201"/>
      <c r="G7" s="201"/>
      <c r="H7" s="201"/>
      <c r="I7" s="201"/>
      <c r="J7" s="202"/>
    </row>
    <row r="8" spans="1:10" s="7" customFormat="1" ht="93.6" customHeight="1" thickBot="1" x14ac:dyDescent="0.3">
      <c r="A8" s="204"/>
      <c r="B8" s="192"/>
      <c r="C8" s="97" t="s">
        <v>1</v>
      </c>
      <c r="D8" s="97" t="s">
        <v>2</v>
      </c>
      <c r="E8" s="99" t="s">
        <v>205</v>
      </c>
      <c r="F8" s="100" t="s">
        <v>206</v>
      </c>
      <c r="G8" s="174" t="s">
        <v>207</v>
      </c>
      <c r="H8" s="100" t="s">
        <v>208</v>
      </c>
      <c r="I8" s="100" t="s">
        <v>71</v>
      </c>
      <c r="J8" s="101" t="s">
        <v>71</v>
      </c>
    </row>
    <row r="9" spans="1:10" s="8" customFormat="1" ht="24.6" thickBot="1" x14ac:dyDescent="0.3">
      <c r="A9" s="205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69" t="s">
        <v>176</v>
      </c>
      <c r="C11" s="170">
        <v>1974</v>
      </c>
      <c r="D11" s="170">
        <v>3406625</v>
      </c>
      <c r="E11" s="172">
        <v>383.3</v>
      </c>
      <c r="F11" s="33">
        <v>37542.6</v>
      </c>
      <c r="G11" s="173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69" t="s">
        <v>177</v>
      </c>
      <c r="C12" s="171">
        <v>1368</v>
      </c>
      <c r="D12" s="171">
        <v>1321496</v>
      </c>
      <c r="E12" s="172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69" t="s">
        <v>178</v>
      </c>
      <c r="C13" s="171">
        <v>686</v>
      </c>
      <c r="D13" s="171">
        <v>634129</v>
      </c>
      <c r="E13" s="172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69" t="s">
        <v>179</v>
      </c>
      <c r="C14" s="171">
        <v>1567</v>
      </c>
      <c r="D14" s="171">
        <v>1886013</v>
      </c>
      <c r="E14" s="172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69" t="s">
        <v>180</v>
      </c>
      <c r="C15" s="171">
        <v>1255</v>
      </c>
      <c r="D15" s="171">
        <v>1459238</v>
      </c>
      <c r="E15" s="172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69" t="s">
        <v>181</v>
      </c>
      <c r="C16" s="171">
        <v>1290</v>
      </c>
      <c r="D16" s="171">
        <v>1281604</v>
      </c>
      <c r="E16" s="172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69" t="s">
        <v>182</v>
      </c>
      <c r="C17" s="171">
        <v>1265</v>
      </c>
      <c r="D17" s="171">
        <v>2508725</v>
      </c>
      <c r="E17" s="172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69" t="s">
        <v>183</v>
      </c>
      <c r="C18" s="171">
        <v>745</v>
      </c>
      <c r="D18" s="171">
        <v>990623</v>
      </c>
      <c r="E18" s="172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69" t="s">
        <v>184</v>
      </c>
      <c r="C19" s="171">
        <v>473</v>
      </c>
      <c r="D19" s="171">
        <v>612355</v>
      </c>
      <c r="E19" s="172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69" t="s">
        <v>185</v>
      </c>
      <c r="C20" s="171">
        <v>1026</v>
      </c>
      <c r="D20" s="171">
        <v>1901521</v>
      </c>
      <c r="E20" s="172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69" t="s">
        <v>186</v>
      </c>
      <c r="C21" s="171">
        <v>1564</v>
      </c>
      <c r="D21" s="171">
        <v>2331676</v>
      </c>
      <c r="E21" s="172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69" t="s">
        <v>187</v>
      </c>
      <c r="C22" s="171">
        <v>4856</v>
      </c>
      <c r="D22" s="171">
        <v>7406412</v>
      </c>
      <c r="E22" s="172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18069</v>
      </c>
      <c r="D23" s="21">
        <f>SUM(D11:D22)</f>
        <v>25740417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98425196850393704" bottom="0" header="0.23622047244094491" footer="0.51181102362204722"/>
  <pageSetup paperSize="9" scale="54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zoomScale="70" zoomScaleNormal="70" workbookViewId="0">
      <selection activeCell="F19" sqref="F19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06" t="s">
        <v>63</v>
      </c>
      <c r="B2" s="206"/>
      <c r="C2" s="206"/>
      <c r="D2" s="206"/>
      <c r="E2" s="206"/>
      <c r="F2" s="206"/>
      <c r="G2" s="206"/>
    </row>
    <row r="3" spans="1:8" ht="16.2" thickBot="1" x14ac:dyDescent="0.3">
      <c r="B3" s="12"/>
    </row>
    <row r="4" spans="1:8" s="7" customFormat="1" ht="50.25" customHeight="1" thickBot="1" x14ac:dyDescent="0.3">
      <c r="A4" s="207" t="s">
        <v>0</v>
      </c>
      <c r="B4" s="207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09" t="s">
        <v>201</v>
      </c>
    </row>
    <row r="5" spans="1:8" s="13" customFormat="1" ht="190.2" customHeight="1" thickBot="1" x14ac:dyDescent="0.3">
      <c r="A5" s="208"/>
      <c r="B5" s="208"/>
      <c r="C5" s="88" t="s">
        <v>202</v>
      </c>
      <c r="D5" s="88" t="s">
        <v>191</v>
      </c>
      <c r="E5" s="88" t="s">
        <v>195</v>
      </c>
      <c r="F5" s="90" t="s">
        <v>192</v>
      </c>
      <c r="G5" s="210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1.7968327495183185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1.5871505080437873</v>
      </c>
      <c r="E7" s="143">
        <f>(1+'Исходные данные'!G11/SUM('Исходные данные'!$G$11:$G$22))/(1+'Исходные данные'!C11/'Исходные данные'!$C$23)</f>
        <v>0.97663772888290157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4.0821051018437773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1.805661567622709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1.6913686790737892</v>
      </c>
      <c r="E8" s="143">
        <f>(1+'Исходные данные'!G12/SUM('Исходные данные'!$G$11:$G$22))/(1+'Исходные данные'!C12/'Исходные данные'!$C$23)</f>
        <v>1.0264540566959923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3.4818604313363495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1.7826024886005081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1.0035657158091176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5.4483535562916696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1.8111416771297129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1.5528685260296002</v>
      </c>
      <c r="E10" s="143">
        <f>(1+'Исходные данные'!G14/SUM('Исходные данные'!$G$11:$G$22))/(1+'Исходные данные'!C14/'Исходные данные'!$C$23)</f>
        <v>1.0543930790385005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3.8472955451484645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1.7622586826728099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1.9174971981168589</v>
      </c>
      <c r="E11" s="143">
        <f>(1+'Исходные данные'!G15/SUM('Исходные данные'!$G$11:$G$22))/(1+'Исходные данные'!C15/'Исходные данные'!$C$23)</f>
        <v>1.0129760919064374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5.7205226096550215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1.7764191577791304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1.6736386383683461</v>
      </c>
      <c r="E12" s="143">
        <f>(1+'Исходные данные'!G16/SUM('Исходные данные'!$G$11:$G$22))/(1+'Исходные данные'!C16/'Исходные данные'!$C$23)</f>
        <v>0.99169959708662647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4.7145060158163297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1.800303372345033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1.9185932621969073</v>
      </c>
      <c r="E13" s="143">
        <f>(1+'Исходные данные'!G17/SUM('Исходные данные'!$G$11:$G$22))/(1+'Исходные данные'!C17/'Исходные данные'!$C$23)</f>
        <v>1.0513926243922622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5.9854513678706196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1.8276222531327819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1.9513380956298818</v>
      </c>
      <c r="E14" s="143">
        <f>(1+'Исходные данные'!G18/SUM('Исходные данные'!$G$11:$G$22))/(1+'Исходные данные'!C18/'Исходные данные'!$C$23)</f>
        <v>1.020426942702243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5.4549536643748846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1.8436096586058364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1.7964656251918365</v>
      </c>
      <c r="E15" s="143">
        <f>(1+'Исходные данные'!G19/SUM('Исходные данные'!$G$11:$G$22))/(1+'Исходные данные'!C19/'Исходные данные'!$C$23)</f>
        <v>1.0353959928810268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4.3616264534296691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1.8172993708685938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1.7178104306307502</v>
      </c>
      <c r="E16" s="143">
        <f>(1+'Исходные данные'!G20/SUM('Исходные данные'!$G$11:$G$22))/(1+'Исходные данные'!C20/'Исходные данные'!$C$23)</f>
        <v>1.005410447761194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5.0785705328709057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1.7984072331027261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1.5196139203619299</v>
      </c>
      <c r="E17" s="143">
        <f>(1+'Исходные данные'!G21/SUM('Исходные данные'!$G$11:$G$22))/(1+'Исходные данные'!C21/'Исходные данные'!$C$23)</f>
        <v>1.0353804818417971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4.3246544429713021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1.505751319631274</v>
      </c>
      <c r="E18" s="143">
        <f>(1+'Исходные данные'!G22/SUM('Исходные данные'!$G$11:$G$22))/(1+'Исходные данные'!C22/'Исходные данные'!$C$23)</f>
        <v>0.82101962922573624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1.2362513901498315</v>
      </c>
    </row>
    <row r="20" spans="1:8" ht="116.25" customHeight="1" x14ac:dyDescent="0.25">
      <c r="A20" s="211" t="s">
        <v>85</v>
      </c>
      <c r="B20" s="211"/>
      <c r="C20" s="211"/>
      <c r="D20" s="211"/>
      <c r="E20" s="211"/>
      <c r="F20" s="211"/>
      <c r="G20" s="211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6"/>
  <sheetViews>
    <sheetView topLeftCell="A10" zoomScale="71" zoomScaleNormal="71" workbookViewId="0">
      <selection activeCell="GL21" sqref="A1:GL21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20.5546875" style="16" customWidth="1"/>
    <col min="29" max="29" width="16.33203125" style="16" customWidth="1"/>
    <col min="30" max="30" width="15.88671875" style="16" hidden="1" customWidth="1"/>
    <col min="31" max="31" width="13.109375" style="16" hidden="1" customWidth="1"/>
    <col min="32" max="32" width="11.33203125" style="16" hidden="1" customWidth="1"/>
    <col min="33" max="33" width="14.88671875" style="16" hidden="1" customWidth="1"/>
    <col min="34" max="34" width="18.88671875" style="16" hidden="1" customWidth="1"/>
    <col min="35" max="35" width="16.33203125" style="16" hidden="1" customWidth="1"/>
    <col min="36" max="36" width="17.5546875" style="16" hidden="1" customWidth="1"/>
    <col min="37" max="37" width="13.44140625" style="16" hidden="1" customWidth="1"/>
    <col min="38" max="39" width="11.109375" style="16" hidden="1" customWidth="1"/>
    <col min="40" max="40" width="21.6640625" style="16" hidden="1" customWidth="1"/>
    <col min="41" max="41" width="15.6640625" style="16" hidden="1" customWidth="1"/>
    <col min="42" max="42" width="18.5546875" style="16" hidden="1" customWidth="1"/>
    <col min="43" max="43" width="20.33203125" style="16" hidden="1" customWidth="1"/>
    <col min="44" max="44" width="10.33203125" style="16" hidden="1" customWidth="1"/>
    <col min="45" max="45" width="13.6640625" style="16" hidden="1" customWidth="1"/>
    <col min="46" max="46" width="16.5546875" style="16" hidden="1" customWidth="1"/>
    <col min="47" max="47" width="16.44140625" style="16" hidden="1" customWidth="1"/>
    <col min="48" max="48" width="18" style="16" hidden="1" customWidth="1"/>
    <col min="49" max="49" width="12.5546875" style="16" hidden="1" customWidth="1"/>
    <col min="50" max="50" width="9.44140625" style="16" hidden="1" customWidth="1"/>
    <col min="51" max="51" width="14.33203125" style="16" hidden="1" customWidth="1"/>
    <col min="52" max="52" width="16.88671875" style="16" hidden="1" customWidth="1"/>
    <col min="53" max="53" width="16.33203125" style="16" hidden="1" customWidth="1"/>
    <col min="54" max="54" width="18.33203125" style="16" hidden="1" customWidth="1"/>
    <col min="55" max="55" width="11.5546875" style="16" hidden="1" customWidth="1"/>
    <col min="56" max="56" width="10.44140625" style="16" hidden="1" customWidth="1"/>
    <col min="57" max="57" width="11.88671875" style="16" hidden="1" customWidth="1"/>
    <col min="58" max="58" width="16.44140625" style="16" hidden="1" customWidth="1"/>
    <col min="59" max="59" width="15" style="16" hidden="1" customWidth="1"/>
    <col min="60" max="60" width="18.5546875" style="16" hidden="1" customWidth="1"/>
    <col min="61" max="61" width="11.33203125" style="16" hidden="1" customWidth="1"/>
    <col min="62" max="62" width="12.33203125" style="16" hidden="1" customWidth="1"/>
    <col min="63" max="63" width="14.109375" style="16" hidden="1" customWidth="1"/>
    <col min="64" max="64" width="21.109375" style="16" hidden="1" customWidth="1"/>
    <col min="65" max="65" width="19.88671875" style="16" hidden="1" customWidth="1"/>
    <col min="66" max="66" width="18.109375" style="16" hidden="1" customWidth="1"/>
    <col min="67" max="67" width="12" style="16" hidden="1" customWidth="1"/>
    <col min="68" max="68" width="12.5546875" style="16" hidden="1" customWidth="1"/>
    <col min="69" max="69" width="15.44140625" style="16" hidden="1" customWidth="1"/>
    <col min="70" max="70" width="16.88671875" style="16" hidden="1" customWidth="1"/>
    <col min="71" max="71" width="15" style="16" hidden="1" customWidth="1"/>
    <col min="72" max="72" width="18.109375" style="16" hidden="1" customWidth="1"/>
    <col min="73" max="73" width="12" style="16" hidden="1" customWidth="1"/>
    <col min="74" max="74" width="12.5546875" style="16" hidden="1" customWidth="1"/>
    <col min="75" max="75" width="15.44140625" style="16" hidden="1" customWidth="1"/>
    <col min="76" max="76" width="16.88671875" style="16" hidden="1" customWidth="1"/>
    <col min="77" max="77" width="15" style="16" hidden="1" customWidth="1"/>
    <col min="78" max="78" width="19.6640625" style="16" hidden="1" customWidth="1"/>
    <col min="79" max="79" width="15.88671875" style="16" hidden="1" customWidth="1"/>
    <col min="80" max="81" width="15" style="16" hidden="1" customWidth="1"/>
    <col min="82" max="82" width="16.5546875" style="16" hidden="1" customWidth="1"/>
    <col min="83" max="83" width="15" style="16" hidden="1" customWidth="1"/>
    <col min="84" max="84" width="16.5546875" style="16" hidden="1" customWidth="1"/>
    <col min="85" max="87" width="15" style="16" hidden="1" customWidth="1"/>
    <col min="88" max="88" width="16.5546875" style="16" hidden="1" customWidth="1"/>
    <col min="89" max="89" width="15" style="16" hidden="1" customWidth="1"/>
    <col min="90" max="90" width="16.33203125" style="16" hidden="1" customWidth="1"/>
    <col min="91" max="93" width="15" style="16" hidden="1" customWidth="1"/>
    <col min="94" max="94" width="16.33203125" style="16" hidden="1" customWidth="1"/>
    <col min="95" max="95" width="15" style="16" hidden="1" customWidth="1"/>
    <col min="96" max="96" width="16.554687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8671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33203125" style="16" hidden="1" customWidth="1"/>
    <col min="113" max="113" width="15" style="16" hidden="1" customWidth="1"/>
    <col min="114" max="114" width="15.88671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33203125" style="16" hidden="1" customWidth="1"/>
    <col min="121" max="123" width="15" style="16" hidden="1" customWidth="1"/>
    <col min="124" max="124" width="22.44140625" style="16" hidden="1" customWidth="1"/>
    <col min="125" max="129" width="15" style="16" hidden="1" customWidth="1"/>
    <col min="130" max="130" width="16.44140625" style="16" hidden="1" customWidth="1"/>
    <col min="131" max="135" width="15" style="16" hidden="1" customWidth="1"/>
    <col min="136" max="136" width="16.44140625" style="16" hidden="1" customWidth="1"/>
    <col min="137" max="141" width="15" style="16" hidden="1" customWidth="1"/>
    <col min="142" max="142" width="16.6640625" style="16" hidden="1" customWidth="1"/>
    <col min="143" max="147" width="15" style="16" hidden="1" customWidth="1"/>
    <col min="148" max="148" width="17.5546875" style="16" hidden="1" customWidth="1"/>
    <col min="149" max="153" width="15" style="16" hidden="1" customWidth="1"/>
    <col min="154" max="154" width="16.109375" style="16" hidden="1" customWidth="1"/>
    <col min="155" max="159" width="15" style="16" hidden="1" customWidth="1"/>
    <col min="160" max="160" width="16.44140625" style="16" hidden="1" customWidth="1"/>
    <col min="161" max="165" width="15" style="16" hidden="1" customWidth="1"/>
    <col min="166" max="166" width="16.88671875" style="16" hidden="1" customWidth="1"/>
    <col min="167" max="171" width="15" style="16" hidden="1" customWidth="1"/>
    <col min="172" max="172" width="16.88671875" style="16" hidden="1" customWidth="1"/>
    <col min="173" max="177" width="15" style="16" hidden="1" customWidth="1"/>
    <col min="178" max="178" width="16.44140625" style="16" hidden="1" customWidth="1"/>
    <col min="179" max="183" width="15" style="16" hidden="1" customWidth="1"/>
    <col min="184" max="184" width="17.109375" style="16" hidden="1" customWidth="1"/>
    <col min="185" max="185" width="15" style="16" hidden="1" customWidth="1"/>
    <col min="186" max="186" width="21.33203125" style="16" hidden="1" customWidth="1"/>
    <col min="187" max="189" width="15" style="16" hidden="1" customWidth="1"/>
    <col min="190" max="190" width="16.6640625" style="16" hidden="1" customWidth="1"/>
    <col min="191" max="191" width="15" style="16" hidden="1" customWidth="1"/>
    <col min="192" max="192" width="21.33203125" style="16" customWidth="1"/>
    <col min="193" max="193" width="20.5546875" style="16" customWidth="1"/>
    <col min="194" max="194" width="18.109375" style="16" customWidth="1"/>
    <col min="195" max="195" width="15.33203125" style="16"/>
    <col min="196" max="196" width="26.6640625" style="16" customWidth="1"/>
    <col min="197" max="16384" width="15.33203125" style="16"/>
  </cols>
  <sheetData>
    <row r="1" spans="1:196" s="17" customFormat="1" ht="22.5" customHeight="1" x14ac:dyDescent="0.25">
      <c r="A1" s="128"/>
      <c r="B1" s="128" t="s">
        <v>209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5" customFormat="1" ht="34.5" customHeight="1" thickBot="1" x14ac:dyDescent="0.3">
      <c r="A3" s="236" t="s">
        <v>7</v>
      </c>
      <c r="B3" s="239" t="s">
        <v>58</v>
      </c>
      <c r="C3" s="242" t="s">
        <v>9</v>
      </c>
      <c r="D3" s="243"/>
      <c r="E3" s="243"/>
      <c r="F3" s="244"/>
      <c r="G3" s="212" t="s">
        <v>59</v>
      </c>
      <c r="H3" s="213"/>
      <c r="I3" s="213"/>
      <c r="J3" s="214"/>
      <c r="K3" s="220" t="s">
        <v>82</v>
      </c>
      <c r="L3" s="70" t="s">
        <v>51</v>
      </c>
      <c r="M3" s="217" t="s">
        <v>78</v>
      </c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9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27" t="s">
        <v>83</v>
      </c>
      <c r="GK3" s="233" t="s">
        <v>84</v>
      </c>
      <c r="GL3" s="230" t="s">
        <v>81</v>
      </c>
    </row>
    <row r="4" spans="1:196" s="25" customFormat="1" ht="29.25" customHeight="1" x14ac:dyDescent="0.25">
      <c r="A4" s="237"/>
      <c r="B4" s="240"/>
      <c r="C4" s="247" t="s">
        <v>10</v>
      </c>
      <c r="D4" s="248"/>
      <c r="E4" s="247" t="s">
        <v>11</v>
      </c>
      <c r="F4" s="248"/>
      <c r="G4" s="249" t="s">
        <v>200</v>
      </c>
      <c r="H4" s="231" t="s">
        <v>12</v>
      </c>
      <c r="I4" s="231" t="s">
        <v>64</v>
      </c>
      <c r="J4" s="215" t="s">
        <v>67</v>
      </c>
      <c r="K4" s="221"/>
      <c r="L4" s="251" t="s">
        <v>79</v>
      </c>
      <c r="M4" s="223" t="s">
        <v>13</v>
      </c>
      <c r="N4" s="224"/>
      <c r="O4" s="224"/>
      <c r="P4" s="224"/>
      <c r="Q4" s="225"/>
      <c r="R4" s="223" t="s">
        <v>14</v>
      </c>
      <c r="S4" s="224"/>
      <c r="T4" s="224"/>
      <c r="U4" s="224"/>
      <c r="V4" s="224"/>
      <c r="W4" s="225"/>
      <c r="X4" s="223" t="s">
        <v>15</v>
      </c>
      <c r="Y4" s="224"/>
      <c r="Z4" s="224"/>
      <c r="AA4" s="224"/>
      <c r="AB4" s="224"/>
      <c r="AC4" s="225"/>
      <c r="AD4" s="223" t="s">
        <v>16</v>
      </c>
      <c r="AE4" s="224"/>
      <c r="AF4" s="224"/>
      <c r="AG4" s="224"/>
      <c r="AH4" s="224"/>
      <c r="AI4" s="225"/>
      <c r="AJ4" s="223" t="s">
        <v>17</v>
      </c>
      <c r="AK4" s="224"/>
      <c r="AL4" s="224"/>
      <c r="AM4" s="224"/>
      <c r="AN4" s="224"/>
      <c r="AO4" s="225"/>
      <c r="AP4" s="223" t="s">
        <v>18</v>
      </c>
      <c r="AQ4" s="224"/>
      <c r="AR4" s="224"/>
      <c r="AS4" s="224"/>
      <c r="AT4" s="224"/>
      <c r="AU4" s="225"/>
      <c r="AV4" s="223" t="s">
        <v>19</v>
      </c>
      <c r="AW4" s="224"/>
      <c r="AX4" s="224"/>
      <c r="AY4" s="224"/>
      <c r="AZ4" s="224"/>
      <c r="BA4" s="225"/>
      <c r="BB4" s="223" t="s">
        <v>20</v>
      </c>
      <c r="BC4" s="224"/>
      <c r="BD4" s="224"/>
      <c r="BE4" s="224"/>
      <c r="BF4" s="224"/>
      <c r="BG4" s="225"/>
      <c r="BH4" s="223" t="s">
        <v>21</v>
      </c>
      <c r="BI4" s="224"/>
      <c r="BJ4" s="224"/>
      <c r="BK4" s="224"/>
      <c r="BL4" s="224"/>
      <c r="BM4" s="225"/>
      <c r="BN4" s="223" t="s">
        <v>22</v>
      </c>
      <c r="BO4" s="224"/>
      <c r="BP4" s="224"/>
      <c r="BQ4" s="224"/>
      <c r="BR4" s="224"/>
      <c r="BS4" s="226"/>
      <c r="BT4" s="223" t="s">
        <v>87</v>
      </c>
      <c r="BU4" s="224"/>
      <c r="BV4" s="224"/>
      <c r="BW4" s="224"/>
      <c r="BX4" s="224"/>
      <c r="BY4" s="226"/>
      <c r="BZ4" s="223" t="s">
        <v>90</v>
      </c>
      <c r="CA4" s="224"/>
      <c r="CB4" s="224"/>
      <c r="CC4" s="224"/>
      <c r="CD4" s="224"/>
      <c r="CE4" s="226"/>
      <c r="CF4" s="223" t="s">
        <v>91</v>
      </c>
      <c r="CG4" s="224"/>
      <c r="CH4" s="224"/>
      <c r="CI4" s="224"/>
      <c r="CJ4" s="224"/>
      <c r="CK4" s="226"/>
      <c r="CL4" s="223" t="s">
        <v>96</v>
      </c>
      <c r="CM4" s="224"/>
      <c r="CN4" s="224"/>
      <c r="CO4" s="224"/>
      <c r="CP4" s="224"/>
      <c r="CQ4" s="226"/>
      <c r="CR4" s="223" t="s">
        <v>99</v>
      </c>
      <c r="CS4" s="224"/>
      <c r="CT4" s="224"/>
      <c r="CU4" s="224"/>
      <c r="CV4" s="224"/>
      <c r="CW4" s="226"/>
      <c r="CX4" s="223" t="s">
        <v>102</v>
      </c>
      <c r="CY4" s="224"/>
      <c r="CZ4" s="224"/>
      <c r="DA4" s="224"/>
      <c r="DB4" s="224"/>
      <c r="DC4" s="226"/>
      <c r="DD4" s="223" t="s">
        <v>105</v>
      </c>
      <c r="DE4" s="224"/>
      <c r="DF4" s="224"/>
      <c r="DG4" s="224"/>
      <c r="DH4" s="224"/>
      <c r="DI4" s="226"/>
      <c r="DJ4" s="223" t="s">
        <v>108</v>
      </c>
      <c r="DK4" s="224"/>
      <c r="DL4" s="224"/>
      <c r="DM4" s="224"/>
      <c r="DN4" s="224"/>
      <c r="DO4" s="226"/>
      <c r="DP4" s="223" t="s">
        <v>111</v>
      </c>
      <c r="DQ4" s="224"/>
      <c r="DR4" s="224"/>
      <c r="DS4" s="224"/>
      <c r="DT4" s="224"/>
      <c r="DU4" s="226"/>
      <c r="DV4" s="223" t="s">
        <v>114</v>
      </c>
      <c r="DW4" s="224"/>
      <c r="DX4" s="224"/>
      <c r="DY4" s="224"/>
      <c r="DZ4" s="224"/>
      <c r="EA4" s="226"/>
      <c r="EB4" s="223" t="s">
        <v>136</v>
      </c>
      <c r="EC4" s="224"/>
      <c r="ED4" s="224"/>
      <c r="EE4" s="224"/>
      <c r="EF4" s="224"/>
      <c r="EG4" s="226"/>
      <c r="EH4" s="223" t="s">
        <v>140</v>
      </c>
      <c r="EI4" s="224"/>
      <c r="EJ4" s="224"/>
      <c r="EK4" s="224"/>
      <c r="EL4" s="224"/>
      <c r="EM4" s="226"/>
      <c r="EN4" s="223" t="s">
        <v>144</v>
      </c>
      <c r="EO4" s="224"/>
      <c r="EP4" s="224"/>
      <c r="EQ4" s="224"/>
      <c r="ER4" s="224"/>
      <c r="ES4" s="226"/>
      <c r="ET4" s="223" t="s">
        <v>148</v>
      </c>
      <c r="EU4" s="224"/>
      <c r="EV4" s="224"/>
      <c r="EW4" s="224"/>
      <c r="EX4" s="224"/>
      <c r="EY4" s="226"/>
      <c r="EZ4" s="223" t="s">
        <v>152</v>
      </c>
      <c r="FA4" s="224"/>
      <c r="FB4" s="224"/>
      <c r="FC4" s="224"/>
      <c r="FD4" s="224"/>
      <c r="FE4" s="226"/>
      <c r="FF4" s="223" t="s">
        <v>156</v>
      </c>
      <c r="FG4" s="224"/>
      <c r="FH4" s="224"/>
      <c r="FI4" s="224"/>
      <c r="FJ4" s="224"/>
      <c r="FK4" s="226"/>
      <c r="FL4" s="223" t="s">
        <v>160</v>
      </c>
      <c r="FM4" s="224"/>
      <c r="FN4" s="224"/>
      <c r="FO4" s="224"/>
      <c r="FP4" s="224"/>
      <c r="FQ4" s="226"/>
      <c r="FR4" s="223" t="s">
        <v>164</v>
      </c>
      <c r="FS4" s="224"/>
      <c r="FT4" s="224"/>
      <c r="FU4" s="224"/>
      <c r="FV4" s="224"/>
      <c r="FW4" s="226"/>
      <c r="FX4" s="223" t="s">
        <v>168</v>
      </c>
      <c r="FY4" s="224"/>
      <c r="FZ4" s="224"/>
      <c r="GA4" s="224"/>
      <c r="GB4" s="224"/>
      <c r="GC4" s="226"/>
      <c r="GD4" s="223" t="s">
        <v>171</v>
      </c>
      <c r="GE4" s="224"/>
      <c r="GF4" s="224"/>
      <c r="GG4" s="224"/>
      <c r="GH4" s="224"/>
      <c r="GI4" s="226"/>
      <c r="GJ4" s="228"/>
      <c r="GK4" s="234"/>
      <c r="GL4" s="230"/>
    </row>
    <row r="5" spans="1:196" s="25" customFormat="1" ht="246" customHeight="1" thickBot="1" x14ac:dyDescent="0.3">
      <c r="A5" s="237"/>
      <c r="B5" s="241"/>
      <c r="C5" s="245" t="s">
        <v>70</v>
      </c>
      <c r="D5" s="246"/>
      <c r="E5" s="245" t="s">
        <v>76</v>
      </c>
      <c r="F5" s="246"/>
      <c r="G5" s="250"/>
      <c r="H5" s="232"/>
      <c r="I5" s="232"/>
      <c r="J5" s="216"/>
      <c r="K5" s="222"/>
      <c r="L5" s="252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29"/>
      <c r="GK5" s="235"/>
      <c r="GL5" s="230"/>
      <c r="GN5" s="25" t="s">
        <v>210</v>
      </c>
    </row>
    <row r="6" spans="1:196" s="25" customFormat="1" ht="19.2" thickBot="1" x14ac:dyDescent="0.3">
      <c r="A6" s="238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59" t="s">
        <v>52</v>
      </c>
      <c r="GK6" s="157" t="s">
        <v>60</v>
      </c>
      <c r="GL6" s="176" t="s">
        <v>77</v>
      </c>
    </row>
    <row r="7" spans="1:196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8">
        <f>GJ7+1</f>
        <v>193</v>
      </c>
      <c r="GL7" s="177">
        <f>GK7+1</f>
        <v>194</v>
      </c>
    </row>
    <row r="8" spans="1:196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4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4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4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4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4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4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4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4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4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4" t="s">
        <v>4</v>
      </c>
      <c r="GI8" s="115" t="s">
        <v>4</v>
      </c>
      <c r="GJ8" s="161" t="s">
        <v>4</v>
      </c>
      <c r="GK8" s="160" t="s">
        <v>4</v>
      </c>
      <c r="GL8" s="178" t="s">
        <v>50</v>
      </c>
    </row>
    <row r="9" spans="1:196" s="24" customFormat="1" ht="31.2" customHeight="1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1974</v>
      </c>
      <c r="H9" s="50">
        <f>'Исходные данные'!D11</f>
        <v>3406625</v>
      </c>
      <c r="I9" s="51">
        <f>'Расчет КРП'!G7</f>
        <v>4.0821051018437773</v>
      </c>
      <c r="J9" s="116" t="s">
        <v>8</v>
      </c>
      <c r="K9" s="149">
        <f t="shared" ref="K9:K20" si="104">((H9/G9)/($H$21/$G$21))/I9</f>
        <v>0.29676422004579367</v>
      </c>
      <c r="L9" s="150">
        <f t="shared" ref="L9:L20" si="105">$D$21*G9/$G$21</f>
        <v>333662.57947866508</v>
      </c>
      <c r="M9" s="153">
        <f t="shared" ref="M9:M20" si="106">(((H9+L9)/G9)/$J$21)/I9</f>
        <v>0.32583085202244322</v>
      </c>
      <c r="N9" s="154" t="s">
        <v>8</v>
      </c>
      <c r="O9" s="155">
        <f t="shared" ref="O9:O20" si="107">$N$21-M9</f>
        <v>1.8347717351598902E-2</v>
      </c>
      <c r="P9" s="165">
        <f t="shared" ref="P9:P20" si="108">IF(O9&gt;0,G9*I9*(($H$21+$L$21)/$G$21)*O9,0)</f>
        <v>235608.11352592701</v>
      </c>
      <c r="Q9" s="156">
        <f t="shared" ref="Q9:Q20" si="109">IF(($F$21-P$21)&gt;0,P9,$F$21*P9/P$21)</f>
        <v>235608.11352592701</v>
      </c>
      <c r="R9" s="151" t="s">
        <v>8</v>
      </c>
      <c r="S9" s="49" t="s">
        <v>8</v>
      </c>
      <c r="T9" s="53">
        <f t="shared" ref="T9:T20" si="110">(((H9+L9+Q9)/G9)/$J$21)/I9</f>
        <v>0.34635558193753002</v>
      </c>
      <c r="U9" s="52">
        <f t="shared" ref="U9:U20" si="111">S$21-T9</f>
        <v>0.10742232284991193</v>
      </c>
      <c r="V9" s="54">
        <f t="shared" ref="V9:V20" si="112">IF(U9&gt;0,$G9*$I9*(($H$21+$L$21+$Q$21)/$G$21)*U9,0)</f>
        <v>1893738.0136101625</v>
      </c>
      <c r="W9" s="80">
        <f t="shared" ref="W9:W20" si="113">IF((R$21-V$21)&gt;0,V9,R$21*V9/V$21)</f>
        <v>1893738.0136101625</v>
      </c>
      <c r="X9" s="76" t="s">
        <v>8</v>
      </c>
      <c r="Y9" s="49" t="s">
        <v>8</v>
      </c>
      <c r="Z9" s="53">
        <f t="shared" ref="Z9:Z20" si="114">(((H9+L9+Q9+W9)/G9)/$J$21)/I9</f>
        <v>0.5113263916333699</v>
      </c>
      <c r="AA9" s="52">
        <f t="shared" ref="AA9:AA20" si="115">Y$21-Z9</f>
        <v>6.7018429743443964E-2</v>
      </c>
      <c r="AB9" s="54">
        <f t="shared" ref="AB9:AB20" si="116">IF(AA9&gt;0,$G9*$I9*(($H$21+$L$21+$Q$21+$W$21)/$G$21)*AA9,0)</f>
        <v>1570076.3184726795</v>
      </c>
      <c r="AC9" s="80">
        <f t="shared" ref="AC9:AC20" si="117">IF((X$21-AB$21)&gt;0,AB9,X$21*AB9/AB$21)</f>
        <v>452035.11116442131</v>
      </c>
      <c r="AD9" s="76" t="s">
        <v>8</v>
      </c>
      <c r="AE9" s="49" t="s">
        <v>8</v>
      </c>
      <c r="AF9" s="53">
        <f t="shared" ref="AF9:AF20" si="118">(((H9+L9+Q9+W9+AC9)/G9)/$J$21)/I9</f>
        <v>0.55070491060684756</v>
      </c>
      <c r="AG9" s="52">
        <f t="shared" ref="AG9:AG20" si="119">AE$21-AF9</f>
        <v>6.4039629465551196E-2</v>
      </c>
      <c r="AH9" s="54">
        <f t="shared" ref="AH9:AH20" si="120">IF(AG9&gt;0,$G9*$I9*(($H$21+$L$21+$Q$21+$W$21+$AC$21)/$G$21)*AG9,0)</f>
        <v>1607374.723305949</v>
      </c>
      <c r="AI9" s="80">
        <f t="shared" ref="AI9:AI20" si="121">IF((AD$21-AH$21)&gt;0,AH9,AD$21*AH9/AH$21)</f>
        <v>0</v>
      </c>
      <c r="AJ9" s="76" t="s">
        <v>8</v>
      </c>
      <c r="AK9" s="49" t="s">
        <v>8</v>
      </c>
      <c r="AL9" s="53">
        <f t="shared" ref="AL9:AL20" si="122">(((H9+L9+Q9+W9+AC9+AI9)/G9)/$J$21)/I9</f>
        <v>0.55070491060684756</v>
      </c>
      <c r="AM9" s="52">
        <f t="shared" ref="AM9:AM20" si="123">AK$21-AL9</f>
        <v>6.4039629465551196E-2</v>
      </c>
      <c r="AN9" s="54">
        <f t="shared" ref="AN9:AN20" si="124">IF(AM9&gt;0,$G9*$I9*(($H$21+$L$21+$Q$21+$W$21+$AC$21+$AI$21)/$G$21)*AM9,0)</f>
        <v>1607374.723305949</v>
      </c>
      <c r="AO9" s="80">
        <f t="shared" ref="AO9:AO20" si="125">IF((AJ$21-AN$21)&gt;0,AN9,AJ$21*AN9/AN$21)</f>
        <v>0</v>
      </c>
      <c r="AP9" s="76" t="s">
        <v>8</v>
      </c>
      <c r="AQ9" s="49" t="s">
        <v>8</v>
      </c>
      <c r="AR9" s="53">
        <f t="shared" ref="AR9:AR20" si="126">(((H9+L9+Q9+W9+AC9+AI9+AO9)/G9)/$J$21)/I9</f>
        <v>0.55070491060684756</v>
      </c>
      <c r="AS9" s="52">
        <f t="shared" ref="AS9:AS20" si="127">AQ$21-AR9</f>
        <v>6.4039629465551196E-2</v>
      </c>
      <c r="AT9" s="54">
        <f t="shared" ref="AT9:AT20" si="128">IF(AS9&gt;0,$G9*$I9*(($H$21+$L$21+$Q$21+$W$21+$AC$21+$AI$21+$AO$21)/$G$21)*AS9,0)</f>
        <v>1607374.723305949</v>
      </c>
      <c r="AU9" s="80">
        <f t="shared" ref="AU9:AU20" si="129">IF((AP$21-AT$21)&gt;0,AT9,AP$21*AT9/AT$21)</f>
        <v>0</v>
      </c>
      <c r="AV9" s="76" t="s">
        <v>8</v>
      </c>
      <c r="AW9" s="49" t="s">
        <v>8</v>
      </c>
      <c r="AX9" s="53">
        <f t="shared" ref="AX9:AX20" si="130">(((H9+L9+Q9+W9+AC9+AI9+AO9+AU9)/G9)/$J$21)/I9</f>
        <v>0.55070491060684756</v>
      </c>
      <c r="AY9" s="52">
        <f t="shared" ref="AY9:AY20" si="131">AW$21-AX9</f>
        <v>6.4039629465551196E-2</v>
      </c>
      <c r="AZ9" s="54">
        <f t="shared" ref="AZ9:AZ20" si="132">IF(AY9&gt;0,$G9*$I9*(($H$21+$L$21+$Q$21+$W$21+$AC$21+$AI$21+$AO$21+$AU$21)/$G$21)*AY9,0)</f>
        <v>1607374.723305949</v>
      </c>
      <c r="BA9" s="80">
        <f t="shared" ref="BA9:BA20" si="133">IF((AV$21-AZ$21)&gt;0,AZ9,AV$21*AZ9/AZ$21)</f>
        <v>0</v>
      </c>
      <c r="BB9" s="76" t="s">
        <v>8</v>
      </c>
      <c r="BC9" s="49" t="s">
        <v>8</v>
      </c>
      <c r="BD9" s="53">
        <f t="shared" ref="BD9:BD20" si="134">(((H9+L9+Q9+W9+AC9+AI9+AO9+AU9+BA9)/G9)/$J$21)/I9</f>
        <v>0.55070491060684756</v>
      </c>
      <c r="BE9" s="52">
        <f t="shared" ref="BE9:BE20" si="135">BC$21-BD9</f>
        <v>6.4039629465551196E-2</v>
      </c>
      <c r="BF9" s="54">
        <f t="shared" ref="BF9:BF20" si="136">IF(BE9&gt;0,$G9*$I9*(($H$21+$L$21+$Q$21+$W$21+$AC$21+$AI$21+$AO$21+$AU$21+$BA$21)/$G$21)*BE9,0)</f>
        <v>1607374.723305949</v>
      </c>
      <c r="BG9" s="80">
        <f t="shared" ref="BG9:BG20" si="137">IF((BB$21-BF$21)&gt;0,BF9,BB$21*BF9/BF$21)</f>
        <v>0</v>
      </c>
      <c r="BH9" s="76" t="s">
        <v>8</v>
      </c>
      <c r="BI9" s="49" t="s">
        <v>8</v>
      </c>
      <c r="BJ9" s="53">
        <f t="shared" ref="BJ9:BJ20" si="138">(((H9+L9+Q9+W9+AC9+AI9+AO9+AU9+BA9+BG9)/G9)/$J$21)/I9</f>
        <v>0.55070491060684756</v>
      </c>
      <c r="BK9" s="52">
        <f t="shared" ref="BK9:BK20" si="139">BI$21-BJ9</f>
        <v>6.4039629465551196E-2</v>
      </c>
      <c r="BL9" s="54">
        <f t="shared" ref="BL9:BL20" si="140">IF(BK9&gt;0,$G9*$I9*(($H$21+$L$21+$Q$21+$W$21+$AC$21+$AI$21+$AO$21+$AU$21+$BA$21+$BG$21)/$G$21)*BK9,0)</f>
        <v>1607374.723305949</v>
      </c>
      <c r="BM9" s="80">
        <f t="shared" ref="BM9:BM20" si="141">IF((BH$21-BL$21)&gt;0,BL9,BH$21*BL9/BL$21)</f>
        <v>0</v>
      </c>
      <c r="BN9" s="76" t="s">
        <v>8</v>
      </c>
      <c r="BO9" s="49" t="s">
        <v>8</v>
      </c>
      <c r="BP9" s="53">
        <f t="shared" ref="BP9:BP20" si="142">(((H9+L9+Q9+W9+AC9+AI9+AO9+AU9+BA9+BG9+BM9)/G9)/$J$21)/I9</f>
        <v>0.55070491060684756</v>
      </c>
      <c r="BQ9" s="52">
        <f t="shared" ref="BQ9:BQ20" si="143">BO$21-BP9</f>
        <v>6.4039629465551196E-2</v>
      </c>
      <c r="BR9" s="54">
        <f t="shared" ref="BR9:BR20" si="144">IF(BQ9&gt;0,$G9*$I9*(($H$21+$L$21+$Q$21+$W$21+$AC$21+$AI$21+$AO$21+$AU$21+$BA$21+$BG$21+$BM$21)/$G$21)*BQ9,0)</f>
        <v>1607374.723305949</v>
      </c>
      <c r="BS9" s="131">
        <f t="shared" ref="BS9:BS20" si="145">IF((BN$21-BR$21)&gt;0,BR9,BN$21*BR9/BR$21)</f>
        <v>0</v>
      </c>
      <c r="BT9" s="76" t="s">
        <v>8</v>
      </c>
      <c r="BU9" s="49" t="s">
        <v>8</v>
      </c>
      <c r="BV9" s="53">
        <f t="shared" ref="BV9:BV20" si="146">(((H9+L9+Q9+W9+AC9+AI9+AO9+AU9+BA9+BG9+BM9+BS9)/G9)/$J$21)/I9</f>
        <v>0.55070491060684756</v>
      </c>
      <c r="BW9" s="52">
        <f t="shared" ref="BW9:BW20" si="147">BU$21-BV9</f>
        <v>6.4039629465551196E-2</v>
      </c>
      <c r="BX9" s="54">
        <f t="shared" ref="BX9:BX20" si="148">IF(BW9&gt;0,$G9*$I9*(($H$21+$L$21+$Q$21+$W$21+$AC$21+$AI$21+$AO$21+$AU$21+$BA$21+$BG$21+$BM$21+$BS$21)/$G$21)*BW9,0)</f>
        <v>1607374.723305949</v>
      </c>
      <c r="BY9" s="131">
        <f t="shared" ref="BY9:BY20" si="149">IF((BT$21-BX$21)&gt;0,BX9,BT$21*BX9/BX$21)</f>
        <v>0</v>
      </c>
      <c r="BZ9" s="76" t="s">
        <v>8</v>
      </c>
      <c r="CA9" s="49" t="s">
        <v>8</v>
      </c>
      <c r="CB9" s="53">
        <f t="shared" ref="CB9:CB20" si="150">(((H9+L9+Q9+W9+AC9+AI9+AO9+AU9+BA9+BG9+BM9+BS9+BY9)/G9)/$J$21)/I9</f>
        <v>0.55070491060684756</v>
      </c>
      <c r="CC9" s="52">
        <f t="shared" ref="CC9:CC20" si="151">CA$21-CB9</f>
        <v>6.4039629465551196E-2</v>
      </c>
      <c r="CD9" s="54">
        <f t="shared" ref="CD9:CD20" si="152">IF(CC9&gt;0,$G9*$I9*(($H$21+$L$21+$Q$21+$W$21+$AC$21+$AI$21+$AO$21+$AU$21+$BA$21+$BG$21+$BM$21+$BS$21+$BY$21)/$G$21)*CC9,0)</f>
        <v>1607374.723305949</v>
      </c>
      <c r="CE9" s="131">
        <f t="shared" ref="CE9:CE20" si="153">IF((BZ$21-CD$21)&gt;0,CD9,BZ$21*CD9/CD$21)</f>
        <v>0</v>
      </c>
      <c r="CF9" s="76" t="s">
        <v>8</v>
      </c>
      <c r="CG9" s="49" t="s">
        <v>8</v>
      </c>
      <c r="CH9" s="53">
        <f t="shared" ref="CH9:CH20" si="154">(((H9+L9+Q9+W9+AC9+AI9+AO9+AU9+BA9+BG9+BM9+BS9+BY9+CE9)/G9)/$J$21)/I9</f>
        <v>0.55070491060684756</v>
      </c>
      <c r="CI9" s="52">
        <f t="shared" ref="CI9:CI20" si="155">CG$21-CH9</f>
        <v>6.4039629465551196E-2</v>
      </c>
      <c r="CJ9" s="54">
        <f t="shared" ref="CJ9:CJ20" si="156">IF(CI9&gt;0,$G9*$I9*(($H$21+$L$21+$Q$21+$W$21+$AC$21+$AI$21+$AO$21+$AU$21+$BA$21+$BG$21+$BM$21+$BS$21+$BY$21+$CE$21)/$G$21)*CI9,0)</f>
        <v>1607374.723305949</v>
      </c>
      <c r="CK9" s="131">
        <f t="shared" ref="CK9:CK20" si="157">IF((CF$21-CJ$21)&gt;0,CJ9,CF$21*CJ9/CJ$21)</f>
        <v>0</v>
      </c>
      <c r="CL9" s="76" t="s">
        <v>8</v>
      </c>
      <c r="CM9" s="49" t="s">
        <v>8</v>
      </c>
      <c r="CN9" s="53">
        <f t="shared" ref="CN9:CN20" si="158">(((H9+L9+Q9+W9+AC9+AI9+AO9+AU9+BA9+BG9+BM9+BS9+BY9+CE9+CK9)/G9)/$J$21)/I9</f>
        <v>0.55070491060684756</v>
      </c>
      <c r="CO9" s="52">
        <f t="shared" ref="CO9:CO20" si="159">CM$21-CN9</f>
        <v>6.4039629465551196E-2</v>
      </c>
      <c r="CP9" s="54">
        <f t="shared" ref="CP9:CP20" si="160">IF(CO9&gt;0,$G9*$I9*(($H$21+$L$21+$Q$21+$W$21+$AC$21+$AI$21+$AO$21+$AU$21+$BA$21+$BG$21+$BM$21+$BS$21+$BY$21+$CE$21+$CK$21)/$G$21)*CO9,0)</f>
        <v>1607374.723305949</v>
      </c>
      <c r="CQ9" s="131">
        <f t="shared" ref="CQ9:CQ20" si="161">IF((CL$21-CP$21)&gt;0,CP9,CL$21*CP9/CP$21)</f>
        <v>0</v>
      </c>
      <c r="CR9" s="76" t="s">
        <v>8</v>
      </c>
      <c r="CS9" s="49" t="s">
        <v>8</v>
      </c>
      <c r="CT9" s="53">
        <f t="shared" ref="CT9:CT20" si="162">(((H9+L9+Q9+W9+AC9+AI9+AO9+AU9+BA9+BG9+BM9+BS9+BY9+CE9+CK9+CQ9)/G9)/$J$21)/I9</f>
        <v>0.55070491060684756</v>
      </c>
      <c r="CU9" s="52">
        <f t="shared" ref="CU9:CU20" si="163">CS$21-CT9</f>
        <v>6.4039629465551196E-2</v>
      </c>
      <c r="CV9" s="54">
        <f t="shared" ref="CV9:CV20" si="164">IF(CU9&gt;0,$G9*$I9*(($H$21+$L$21+$Q$21+$W$21+$AC$21+$AI$21+$AO$21+$AU$21+$BA$21+$BG$21+$BM$21+$BS$21+$BY$21+$CE$21+$CK$21+$CQ$21)/$G$21)*CU9,0)</f>
        <v>1607374.723305949</v>
      </c>
      <c r="CW9" s="131">
        <f t="shared" ref="CW9:CW20" si="165">IF((CR$21-CV$21)&gt;0,CV9,CR$21*CV9/CV$21)</f>
        <v>0</v>
      </c>
      <c r="CX9" s="76" t="s">
        <v>8</v>
      </c>
      <c r="CY9" s="49" t="s">
        <v>8</v>
      </c>
      <c r="CZ9" s="53">
        <f t="shared" ref="CZ9:CZ20" si="166">(((H9+L9+Q9+W9+AC9+AI9+AO9+AU9+BA9+BG9+BM9+BS9+BY9+CE9+CK9+CQ9+CW9)/G9)/$J$21)/I9</f>
        <v>0.55070491060684756</v>
      </c>
      <c r="DA9" s="52">
        <f t="shared" ref="DA9:DA20" si="167">CY$21-CZ9</f>
        <v>6.4039629465551196E-2</v>
      </c>
      <c r="DB9" s="54">
        <f t="shared" ref="DB9:DB20" si="168">IF(DA9&gt;0,$G9*$I9*(($H$21+$L$21+$Q$21+$W$21+$AC$21+$AI$21+$AO$21+$AU$21+$BA$21+$BG$21+$BM$21+$BS$21+$BY$21+$CE$21+$CK$21+$CQ$21+$CW$21)/$G$21)*DA9,0)</f>
        <v>1607374.723305949</v>
      </c>
      <c r="DC9" s="131">
        <f t="shared" ref="DC9:DC20" si="169">IF((CX$21-DB$21)&gt;0,DB9,CX$21*DB9/DB$21)</f>
        <v>0</v>
      </c>
      <c r="DD9" s="76" t="s">
        <v>8</v>
      </c>
      <c r="DE9" s="49" t="s">
        <v>8</v>
      </c>
      <c r="DF9" s="53">
        <f t="shared" ref="DF9:DF20" si="170">(((H9+L9+Q9+W9+AC9+AI9+AO9+AU9+BA9+BG9+BM9+BS9+BY9+CE9+CK9+CQ9+CW9+DC9)/G9)/$J$21)/I9</f>
        <v>0.55070491060684756</v>
      </c>
      <c r="DG9" s="52">
        <f t="shared" ref="DG9:DG20" si="171">DE$21-DF9</f>
        <v>6.4039629465551196E-2</v>
      </c>
      <c r="DH9" s="54">
        <f t="shared" ref="DH9:DH20" si="172">IF(DG9&gt;0,$G9*$I9*(($H$21+$L$21+$Q$21+$W$21+$AC$21+$AI$21+$AO$21+$AU$21+$BA$21+$BG$21+$BM$21+$BS$21+$BY$21+$CE$21+$CK$21+$CQ$21+$CW$21+$DC$21)/$G$21)*DG9,0)</f>
        <v>1607374.723305949</v>
      </c>
      <c r="DI9" s="131">
        <f t="shared" ref="DI9:DI20" si="173">IF((DD$21-DH$21)&gt;0,DH9,DD$21*DH9/DH$21)</f>
        <v>0</v>
      </c>
      <c r="DJ9" s="76" t="s">
        <v>8</v>
      </c>
      <c r="DK9" s="49" t="s">
        <v>8</v>
      </c>
      <c r="DL9" s="53">
        <f t="shared" ref="DL9:DL20" si="174">(((H9+L9+Q9+W9+AC9+AI9+AO9+AU9+BA9+BG9+BM9+BS9+BY9+CE9+CK9+CQ9+CW9+DC9+DI9)/G9)/$J$21)/I9</f>
        <v>0.55070491060684756</v>
      </c>
      <c r="DM9" s="52">
        <f t="shared" ref="DM9:DM20" si="175">DK$21-DL9</f>
        <v>6.4039629465551196E-2</v>
      </c>
      <c r="DN9" s="54">
        <f t="shared" ref="DN9:DN20" si="176">IF(DM9&gt;0,$G9*$I9*(($H$21+$L$21+$Q$21+$W$21+$AC$21+$AI$21+$AO$21+$AU$21+$BA$21+$BG$21+$BM$21+$BS$21+$BY$21+$CE$21+$CK$21+$CQ$21+$CW$21+$DC$21+$DI$21)/$G$21)*DM9,0)</f>
        <v>1607374.723305949</v>
      </c>
      <c r="DO9" s="131">
        <f t="shared" ref="DO9:DO20" si="177">IF((DJ$21-DN$21)&gt;0,DN9,DJ$21*DN9/DN$21)</f>
        <v>0</v>
      </c>
      <c r="DP9" s="76" t="s">
        <v>8</v>
      </c>
      <c r="DQ9" s="49" t="s">
        <v>8</v>
      </c>
      <c r="DR9" s="53">
        <f t="shared" ref="DR9:DR20" si="178">(((H9+L9+Q9+W9+AC9+AI9+AO9+AU9+BA9+BG9+BM9+BS9+BY9+CE9+CK9+CQ9+CW9+DC9+DI9+DO9)/G9)/$J$21)/I9</f>
        <v>0.55070491060684756</v>
      </c>
      <c r="DS9" s="52">
        <f t="shared" ref="DS9:DS20" si="179">DQ$21-DR9</f>
        <v>6.4039629465551196E-2</v>
      </c>
      <c r="DT9" s="54">
        <f t="shared" ref="DT9:DT20" si="180">IF(DS9&gt;0,$G9*$I9*(($H$21+$L$21+$Q$21+$W$21+$AC$21+$AI$21+$AO$21+$AU$21+$BA$21+$BG$21+$BM$21+$BS$21+$BY$21+$CE$21+$CK$21+$CQ$21+$CW$21+$DC$21+$DI$21+$DO$21)/$G$21)*DS9,0)</f>
        <v>1607374.723305949</v>
      </c>
      <c r="DU9" s="131">
        <f t="shared" ref="DU9:DU20" si="181">IF((DP$21-DT$21)&gt;0,DT9,DP$21*DT9/DT$21)</f>
        <v>0</v>
      </c>
      <c r="DV9" s="162" t="s">
        <v>8</v>
      </c>
      <c r="DW9" s="154" t="s">
        <v>8</v>
      </c>
      <c r="DX9" s="166">
        <f t="shared" ref="DX9:DX20" si="182">((($H9+$L9+$Q9+$W9+$AC9+$AI9+$AO9+$AU9+$BA9+$BG9+$BM9+$BS9+$BY9+$CE9+$CK9+$CQ9+$CW9+$DC9+$DI9+$DO9+$DU9)/$G9)/$J$21)/$I9</f>
        <v>0.55070491060684756</v>
      </c>
      <c r="DY9" s="155">
        <f t="shared" ref="DY9:DY20" si="183">DW$21-DX9</f>
        <v>6.4039629465551196E-2</v>
      </c>
      <c r="DZ9" s="33">
        <f t="shared" ref="DZ9:DZ20" si="184">IF(DY9&gt;0,$G9*$I9*(($H$21+$L$21+$Q$21+$W$21+$AC$21+$AI$21+$AO$21+$AU$21+$BA$21+$BG$21+$BM$21+$BS$21+$BY$21+$CE$21+$CK$21+$CQ$21+$CW$21+$DC$21+$DI$21+$DO$21+$DU$21)/$G$21)*DY9,0)</f>
        <v>1607374.723305949</v>
      </c>
      <c r="EA9" s="156">
        <f t="shared" ref="EA9:EA20" si="185">IF((DV$21-DZ$21)&gt;0,DZ9,DV$21*DZ9/DZ$21)</f>
        <v>0</v>
      </c>
      <c r="EB9" s="162" t="s">
        <v>8</v>
      </c>
      <c r="EC9" s="154" t="s">
        <v>8</v>
      </c>
      <c r="ED9" s="166">
        <f t="shared" ref="ED9:ED20" si="186">((($H9+$L9+$Q9+$W9+$AC9+$AI9+$AO9+$AU9+$BA9+$BG9+$BM9+$BS9+$BY9+$CE9+$CK9+$CQ9+$CW9+$DC9+$DI9+$DO9+$DU9+$EA9)/$G9)/$J$21)/$I9</f>
        <v>0.55070491060684756</v>
      </c>
      <c r="EE9" s="155">
        <f t="shared" ref="EE9:EE20" si="187">EC$21-ED9</f>
        <v>6.4039629465551196E-2</v>
      </c>
      <c r="EF9" s="33">
        <f t="shared" ref="EF9:EF20" si="188">IF(EE9&gt;0,$G9*$I9*(($H$21+$L$21+$Q$21+$W$21+$AC$21+$AI$21+$AO$21+$AU$21+$BA$21+$BG$21+$BM$21+$BS$21+$BY$21+$CE$21+$CK$21+$CQ$21+$CW$21+$DC$21+$DI$21+$DO$21+$DU$21+$EA$21)/$G$21)*EE9,0)</f>
        <v>1607374.723305949</v>
      </c>
      <c r="EG9" s="156">
        <f t="shared" ref="EG9:EG20" si="189">IF((EB$21-EF$21)&gt;0,EF9,EB$21*EF9/EF$21)</f>
        <v>0</v>
      </c>
      <c r="EH9" s="162" t="s">
        <v>8</v>
      </c>
      <c r="EI9" s="154" t="s">
        <v>8</v>
      </c>
      <c r="EJ9" s="166">
        <f t="shared" ref="EJ9:EJ20" si="190">((($H9+$L9+$Q9+$W9+$AC9+$AI9+$AO9+$AU9+$BA9+$BG9+$BM9+$BS9+$BY9+$CE9+$CK9+$CQ9+$CW9+$DC9+$DI9+$DO9+$DU9+$EA9+$EG9)/$G9)/$J$21)/$I9</f>
        <v>0.55070491060684756</v>
      </c>
      <c r="EK9" s="155">
        <f t="shared" ref="EK9:EK20" si="191">EI$21-EJ9</f>
        <v>6.4039629465551196E-2</v>
      </c>
      <c r="EL9" s="33">
        <f t="shared" ref="EL9:EL20" si="192">IF(EK9&gt;0,$G9*$I9*(($H$21+$L$21+$Q$21+$W$21+$AC$21+$AI$21+$AO$21+$AU$21+$BA$21+$BG$21+$BM$21+$BS$21+$BY$21+$CE$21+$CK$21+$CQ$21+$CW$21+$DC$21+$DI$21+$DO$21+$DU$21+$EA$21+$EG$21)/$G$21)*EK9,0)</f>
        <v>1607374.723305949</v>
      </c>
      <c r="EM9" s="156">
        <f t="shared" ref="EM9:EM20" si="193">IF((EH$21-EL$21)&gt;0,EL9,EH$21*EL9/EL$21)</f>
        <v>0</v>
      </c>
      <c r="EN9" s="76" t="s">
        <v>8</v>
      </c>
      <c r="EO9" s="49" t="s">
        <v>8</v>
      </c>
      <c r="EP9" s="167">
        <f t="shared" ref="EP9:EP20" si="194">((($H9+$L9+$Q9+$W9+$AC9+$AI9+$AO9+$AU9+$BA9+$BG9+$BM9+$BS9+$BY9+$CE9+$CK9+$CQ9+$CW9+$DC9+$DI9+$DO9+$DU9+$EA9+$EG9+$EM9)/$G9)/$J$21)/$I9</f>
        <v>0.55070491060684756</v>
      </c>
      <c r="EQ9" s="52">
        <f t="shared" ref="EQ9:EQ20" si="195">EO$21-EP9</f>
        <v>6.4039629465551196E-2</v>
      </c>
      <c r="ER9" s="54">
        <f t="shared" ref="ER9:ER20" si="196">IF(EQ9&gt;0,$G9*$I9*(($H$21+$L$21+$Q$21+$W$21+$AC$21+$AI$21+$AO$21+$AU$21+$BA$21+$BG$21+$BM$21+$BS$21+$BY$21+$CE$21+$CK$21+$CQ$21+$CW$21+$DC$21+$DI$21+$DO$21+$DU$21+$EA$21+$EG$21+$EM$21)/$G$21)*EQ9,0)</f>
        <v>1607374.723305949</v>
      </c>
      <c r="ES9" s="80">
        <f t="shared" ref="ES9:ES20" si="197">IF((EN$21-ER$21)&gt;0,ER9,EN$21*ER9/ER$21)</f>
        <v>0</v>
      </c>
      <c r="ET9" s="162" t="s">
        <v>8</v>
      </c>
      <c r="EU9" s="154" t="s">
        <v>8</v>
      </c>
      <c r="EV9" s="166">
        <f t="shared" ref="EV9:EV20" si="198">((($H9+$L9+$Q9+$W9+$AC9+$AI9+$AO9+$AU9+$BA9+$BG9+$BM9+$BS9+$BY9+$CE9+$CK9+$CQ9+$CW9+$DC9+$DI9+$DO9+$DU9+$EA9+$EG9+$EM9+$ES9)/$G9)/$J$21)/$I9</f>
        <v>0.55070491060684756</v>
      </c>
      <c r="EW9" s="155">
        <f t="shared" ref="EW9:EW20" si="199">EU$21-EV9</f>
        <v>6.4039629465551196E-2</v>
      </c>
      <c r="EX9" s="33">
        <f t="shared" ref="EX9:EX20" si="200">IF(EW9&gt;0,$G9*$I9*(($H$21+$L$21+$Q$21+$W$21+$AC$21+$AI$21+$AO$21+$AU$21+$BA$21+$BG$21+$BM$21+$BS$21+$BY$21+$CE$21+$CK$21+$CQ$21+$CW$21+$DC$21+$DI$21+$DO$21+$DU$21+$EA$21+$EG$21+$EM$21+$ES$21)/$G$21)*EW9,0)</f>
        <v>1607374.723305949</v>
      </c>
      <c r="EY9" s="156">
        <f t="shared" ref="EY9:EY20" si="201">IF((ET$21-EX$21)&gt;0,EX9,ET$21*EX9/EX$21)</f>
        <v>0</v>
      </c>
      <c r="EZ9" s="162" t="s">
        <v>8</v>
      </c>
      <c r="FA9" s="154" t="s">
        <v>8</v>
      </c>
      <c r="FB9" s="166">
        <f t="shared" ref="FB9:FB20" si="202">((($H9+$L9+$Q9+$W9+$AC9+$AI9+$AO9+$AU9+$BA9+$BG9+$BM9+$BS9+$BY9+$CE9+$CK9+$CQ9+$CW9+$DC9+$DI9+$DO9+$DU9+$EA9+$EG9+$EM9+$ES9+$EY9)/$G9)/$J$21)/$I9</f>
        <v>0.55070491060684756</v>
      </c>
      <c r="FC9" s="155">
        <f t="shared" ref="FC9:FC20" si="203">FA$21-FB9</f>
        <v>6.4039629465551196E-2</v>
      </c>
      <c r="FD9" s="33">
        <f t="shared" ref="FD9:FD20" si="204">IF(FC9&gt;0,$G9*$I9*(($H$21+$L$21+$Q$21+$W$21+$AC$21+$AI$21+$AO$21+$AU$21+$BA$21+$BG$21+$BM$21+$BS$21+$BY$21+$CE$21+$CK$21+$CQ$21+$CW$21+$DC$21+$DI$21+$DO$21+$DU$21+$EA$21+$EG$21+$EM$21+$ES$21+$EY$21)/$G$21)*FC9,0)</f>
        <v>1607374.723305949</v>
      </c>
      <c r="FE9" s="156">
        <f t="shared" ref="FE9:FE20" si="205">IF((EZ$21-FD$21)&gt;0,FD9,EZ$21*FD9/FD$21)</f>
        <v>0</v>
      </c>
      <c r="FF9" s="162" t="s">
        <v>8</v>
      </c>
      <c r="FG9" s="154" t="s">
        <v>8</v>
      </c>
      <c r="FH9" s="166">
        <f t="shared" ref="FH9:FH20" si="206">((($H9+$L9+$Q9+$W9+$AC9+$AI9+$AO9+$AU9+$BA9+$BG9+$BM9+$BS9+$BY9+$CE9+$CK9+$CQ9+$CW9+$DC9+$DI9+$DO9+$DU9+$EA9+$EG9+$EM9+$ES9+$EY9+$FE9)/$G9)/$J$21)/$I9</f>
        <v>0.55070491060684756</v>
      </c>
      <c r="FI9" s="155">
        <f t="shared" ref="FI9:FI20" si="207">FG$21-FH9</f>
        <v>6.4039629465551196E-2</v>
      </c>
      <c r="FJ9" s="33">
        <f t="shared" ref="FJ9:FJ20" si="208">IF(FI9&gt;0,$G9*$I9*(($H$21+$L$21+$Q$21+$W$21+$AC$21+$AI$21+$AO$21+$AU$21+$BA$21+$BG$21+$BM$21+$BS$21+$BY$21+$CE$21+$CK$21+$CQ$21+$CW$21+$DC$21+$DI$21+$DO$21+$DU$21+$EA$21+$EG$21+$EM$21+$ES$21+$EY$21+$FE$21)/$G$21)*FI9,0)</f>
        <v>1607374.723305949</v>
      </c>
      <c r="FK9" s="156">
        <f t="shared" ref="FK9:FK20" si="209">IF((FF$21-FJ$21)&gt;0,FJ9,FF$21*FJ9/FJ$21)</f>
        <v>0</v>
      </c>
      <c r="FL9" s="162" t="s">
        <v>8</v>
      </c>
      <c r="FM9" s="154" t="s">
        <v>8</v>
      </c>
      <c r="FN9" s="166">
        <f t="shared" ref="FN9:FN20" si="210">((($H9+$L9+$Q9+$W9+$AC9+$AI9+$AO9+$AU9+$BA9+$BG9+$BM9+$BS9+$BY9+$CE9+$CK9+$CQ9+$CW9+$DC9+$DI9+$DO9+$DU9+$EA9+$EG9+$EM9+$ES9+$EY9+$FE9+$FK9)/$G9)/$J$21)/$I9</f>
        <v>0.55070491060684756</v>
      </c>
      <c r="FO9" s="155">
        <f t="shared" ref="FO9:FO20" si="211">FM$21-FN9</f>
        <v>6.4039629465551196E-2</v>
      </c>
      <c r="FP9" s="33">
        <f t="shared" ref="FP9:FP20" si="212">IF(FO9&gt;0,$G9*$I9*(($H$21+$L$21+$Q$21+$W$21+$AC$21+$AI$21+$AO$21+$AU$21+$BA$21+$BG$21+$BM$21+$BS$21+$BY$21+$CE$21+$CK$21+$CQ$21+$CW$21+$DC$21+$DI$21+$DO$21+$DU$21+$EA$21+$EG$21+$EM$21+$ES$21+$EY$21+$FE$21+$FK$21)/$G$21)*FO9,0)</f>
        <v>1607374.723305949</v>
      </c>
      <c r="FQ9" s="156">
        <f t="shared" ref="FQ9:FQ20" si="213">IF((FL$21-FP$21)&gt;0,FP9,FL$21*FP9/FP$21)</f>
        <v>0</v>
      </c>
      <c r="FR9" s="162" t="s">
        <v>8</v>
      </c>
      <c r="FS9" s="154" t="s">
        <v>8</v>
      </c>
      <c r="FT9" s="166">
        <f t="shared" ref="FT9:FT20" si="214">((($H9+$L9+$Q9+$W9+$AC9+$AI9+$AO9+$AU9+$BA9+$BG9+$BM9+$BS9+$BY9+$CE9+$CK9+$CQ9+$CW9+$DC9+$DI9+$DO9+$DU9+$EA9+$EG9+$EM9+$ES9+$EY9+$FE9+$FK9+$FQ9)/$G9)/$J$21)/$I9</f>
        <v>0.55070491060684756</v>
      </c>
      <c r="FU9" s="155">
        <f t="shared" ref="FU9:FU20" si="215">FS$21-FT9</f>
        <v>6.4039629465551196E-2</v>
      </c>
      <c r="FV9" s="33">
        <f t="shared" ref="FV9:FV20" si="216">IF(FU9&gt;0,$G9*$I9*(($H$21+$L$21+$Q$21+$W$21+$AC$21+$AI$21+$AO$21+$AU$21+$BA$21+$BG$21+$BM$21+$BS$21+$BY$21+$CE$21+$CK$21+$CQ$21+$CW$21+$DC$21+$DI$21+$DO$21+$DU$21+$EA$21+$EG$21+$EM$21+$ES$21+$EY$21+$FE$21+$FK$21+$FQ$21)/$G$21)*FU9,0)</f>
        <v>1607374.723305949</v>
      </c>
      <c r="FW9" s="156">
        <f t="shared" ref="FW9:FW20" si="217">IF((FR$21-FV$21)&gt;0,FV9,FR$21*FV9/FV$21)</f>
        <v>0</v>
      </c>
      <c r="FX9" s="162" t="s">
        <v>8</v>
      </c>
      <c r="FY9" s="154" t="s">
        <v>8</v>
      </c>
      <c r="FZ9" s="166">
        <f t="shared" ref="FZ9:FZ20" si="218">((($H9+$L9+$Q9+$W9+$AC9+$AI9+$AO9+$AU9+$BA9+$BG9+$BM9+$BS9+$BY9+$CE9+$CK9+$CQ9+$CW9+$DC9+$DI9+$DO9+$DU9+$EA9+$EG9+$EM9+$ES9+$EY9+$FE9+$FK9+$FQ9+$FW9)/$G9)/$J$21)/$I9</f>
        <v>0.55070491060684756</v>
      </c>
      <c r="GA9" s="155">
        <f t="shared" ref="GA9:GA20" si="219">FY$21-FZ9</f>
        <v>6.4039629465551196E-2</v>
      </c>
      <c r="GB9" s="33">
        <f t="shared" ref="GB9:GB20" si="220">IF(GA9&gt;0,$G9*$I9*(($H$21+$L$21+$Q$21+$W$21+$AC$21+$AI$21+$AO$21+$AU$21+$BA$21+$BG$21+$BM$21+$BS$21+$BY$21+$CE$21+$CK$21+$CQ$21+$CW$21+$DC$21+$DI$21+$DO$21+$DU$21+$EA$21+$EG$21+$EM$21+$ES$21+$EY$21+$FE$21+$FK$21+$FQ$21+$FW$21)/$G$21)*GA9,0)</f>
        <v>1607374.723305949</v>
      </c>
      <c r="GC9" s="156">
        <f t="shared" ref="GC9:GC20" si="221">IF((FX$21-GB$21)&gt;0,GB9,FX$21*GB9/GB$21)</f>
        <v>0</v>
      </c>
      <c r="GD9" s="162" t="s">
        <v>8</v>
      </c>
      <c r="GE9" s="154" t="s">
        <v>8</v>
      </c>
      <c r="GF9" s="166">
        <f t="shared" ref="GF9:GF20" si="222">((($H9+$L9+$Q9+$W9+$AC9+$AI9+$AO9+$AU9+$BA9+$BG9+$BM9+$BS9+$BY9+$CE9+$CK9+$CQ9+$CW9+$DC9+$DI9+$DO9+$DU9+$EA9+$EG9+$EM9+$ES9+$EY9+$FE9+$FK9+$FQ9+$FW9+$GC9)/$G9)/$J$21)/$I9</f>
        <v>0.55070491060684756</v>
      </c>
      <c r="GG9" s="155">
        <f t="shared" ref="GG9:GG20" si="223">GE$21-GF9</f>
        <v>6.4039629465551196E-2</v>
      </c>
      <c r="GH9" s="33">
        <f t="shared" ref="GH9:GH20" si="224">IF(GG9&gt;0,$G9*$I9*(($H$21+$L$21+$Q$21+$W$21+$AC$21+$AI$21+$AO$21+$AU$21+$BA$21+$BG$21+$BM$21+$BS$21+$BY$21+$CE$21+$CK$21+$CQ$21+$CW$21+$DC$21+$DI$21+$DO$21+$DU$21+$EA$21+$EG$21+$EM$21+$ES$21+$EY$21+$FE$21+$FK$21+$FQ$21+$FW$21+$GC$21)/$G$21)*GG9,0)</f>
        <v>1607374.723305949</v>
      </c>
      <c r="GI9" s="168">
        <f t="shared" ref="GI9:GI20" si="225">IF((GD$21-GH$21)&gt;0,GH9,GD$21*GH9/GH$21)</f>
        <v>0</v>
      </c>
      <c r="GJ9" s="181">
        <f>Q9+W9+AC9+AI9+AO9+AU9+BA9+BG9+BM9+BS9+BY9+CE9+CK9+CQ9+CW9+DC9+DI9+DO9+DU9+EA9+EG9+EM9+ES9+EY9+FE9+FK9+FQ9+FW9+GC9+GI9</f>
        <v>2581381.2383005107</v>
      </c>
      <c r="GK9" s="185">
        <f t="shared" ref="GK9:GK21" si="226">L9+GJ9</f>
        <v>2915043.8177791759</v>
      </c>
      <c r="GL9" s="179">
        <f t="shared" ref="GL9:GL20" si="227">K9+GK9/($H$21/$G$21)/G9/I9</f>
        <v>0.55070491060684745</v>
      </c>
      <c r="GN9" s="184">
        <v>2915043.82</v>
      </c>
    </row>
    <row r="10" spans="1:196" s="24" customFormat="1" ht="31.2" customHeight="1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1368</v>
      </c>
      <c r="H10" s="30">
        <f>'Исходные данные'!D12</f>
        <v>1321496</v>
      </c>
      <c r="I10" s="31">
        <f>'Расчет КРП'!G8</f>
        <v>3.4818604313363495</v>
      </c>
      <c r="J10" s="117" t="s">
        <v>8</v>
      </c>
      <c r="K10" s="121">
        <f t="shared" si="104"/>
        <v>0.19475424672797359</v>
      </c>
      <c r="L10" s="78">
        <f t="shared" si="105"/>
        <v>231231.21009463721</v>
      </c>
      <c r="M10" s="74">
        <f t="shared" si="106"/>
        <v>0.2288317317464518</v>
      </c>
      <c r="N10" s="29" t="s">
        <v>8</v>
      </c>
      <c r="O10" s="32">
        <f t="shared" si="107"/>
        <v>0.11534683762759032</v>
      </c>
      <c r="P10" s="33">
        <f t="shared" si="108"/>
        <v>875548.11735874077</v>
      </c>
      <c r="Q10" s="81">
        <f t="shared" si="109"/>
        <v>875548.11735874077</v>
      </c>
      <c r="R10" s="152" t="s">
        <v>8</v>
      </c>
      <c r="S10" s="29" t="s">
        <v>8</v>
      </c>
      <c r="T10" s="34">
        <f t="shared" si="110"/>
        <v>0.35786482308406986</v>
      </c>
      <c r="U10" s="32">
        <f t="shared" si="111"/>
        <v>9.5913081703372094E-2</v>
      </c>
      <c r="V10" s="54">
        <f t="shared" si="112"/>
        <v>999469.00015999528</v>
      </c>
      <c r="W10" s="81">
        <f t="shared" si="113"/>
        <v>999469.00015999528</v>
      </c>
      <c r="X10" s="77" t="s">
        <v>8</v>
      </c>
      <c r="Y10" s="29" t="s">
        <v>8</v>
      </c>
      <c r="Z10" s="34">
        <f t="shared" si="114"/>
        <v>0.50516063953309498</v>
      </c>
      <c r="AA10" s="32">
        <f t="shared" si="115"/>
        <v>7.3184181843718887E-2</v>
      </c>
      <c r="AB10" s="54">
        <f t="shared" si="116"/>
        <v>1013467.5848570419</v>
      </c>
      <c r="AC10" s="81">
        <f t="shared" si="117"/>
        <v>291783.86234628264</v>
      </c>
      <c r="AD10" s="77" t="s">
        <v>8</v>
      </c>
      <c r="AE10" s="29" t="s">
        <v>8</v>
      </c>
      <c r="AF10" s="34">
        <f t="shared" si="118"/>
        <v>0.54816201548779253</v>
      </c>
      <c r="AG10" s="32">
        <f t="shared" si="119"/>
        <v>6.6582524584606229E-2</v>
      </c>
      <c r="AH10" s="54">
        <f t="shared" si="120"/>
        <v>987858.42401925509</v>
      </c>
      <c r="AI10" s="81">
        <f t="shared" si="121"/>
        <v>0</v>
      </c>
      <c r="AJ10" s="77" t="s">
        <v>8</v>
      </c>
      <c r="AK10" s="29" t="s">
        <v>8</v>
      </c>
      <c r="AL10" s="34">
        <f t="shared" si="122"/>
        <v>0.54816201548779253</v>
      </c>
      <c r="AM10" s="32">
        <f t="shared" si="123"/>
        <v>6.6582524584606229E-2</v>
      </c>
      <c r="AN10" s="54">
        <f t="shared" si="124"/>
        <v>987858.42401925509</v>
      </c>
      <c r="AO10" s="81">
        <f t="shared" si="125"/>
        <v>0</v>
      </c>
      <c r="AP10" s="77" t="s">
        <v>8</v>
      </c>
      <c r="AQ10" s="29" t="s">
        <v>8</v>
      </c>
      <c r="AR10" s="34">
        <f t="shared" si="126"/>
        <v>0.54816201548779253</v>
      </c>
      <c r="AS10" s="32">
        <f t="shared" si="127"/>
        <v>6.6582524584606229E-2</v>
      </c>
      <c r="AT10" s="54">
        <f t="shared" si="128"/>
        <v>987858.42401925509</v>
      </c>
      <c r="AU10" s="81">
        <f t="shared" si="129"/>
        <v>0</v>
      </c>
      <c r="AV10" s="77" t="s">
        <v>8</v>
      </c>
      <c r="AW10" s="29" t="s">
        <v>8</v>
      </c>
      <c r="AX10" s="34">
        <f t="shared" si="130"/>
        <v>0.54816201548779253</v>
      </c>
      <c r="AY10" s="32">
        <f t="shared" si="131"/>
        <v>6.6582524584606229E-2</v>
      </c>
      <c r="AZ10" s="54">
        <f t="shared" si="132"/>
        <v>987858.42401925509</v>
      </c>
      <c r="BA10" s="81">
        <f t="shared" si="133"/>
        <v>0</v>
      </c>
      <c r="BB10" s="77" t="s">
        <v>8</v>
      </c>
      <c r="BC10" s="29" t="s">
        <v>8</v>
      </c>
      <c r="BD10" s="34">
        <f t="shared" si="134"/>
        <v>0.54816201548779253</v>
      </c>
      <c r="BE10" s="32">
        <f t="shared" si="135"/>
        <v>6.6582524584606229E-2</v>
      </c>
      <c r="BF10" s="54">
        <f t="shared" si="136"/>
        <v>987858.42401925509</v>
      </c>
      <c r="BG10" s="81">
        <f t="shared" si="137"/>
        <v>0</v>
      </c>
      <c r="BH10" s="77" t="s">
        <v>8</v>
      </c>
      <c r="BI10" s="29" t="s">
        <v>8</v>
      </c>
      <c r="BJ10" s="34">
        <f t="shared" si="138"/>
        <v>0.54816201548779253</v>
      </c>
      <c r="BK10" s="32">
        <f t="shared" si="139"/>
        <v>6.6582524584606229E-2</v>
      </c>
      <c r="BL10" s="54">
        <f t="shared" si="140"/>
        <v>987858.42401925509</v>
      </c>
      <c r="BM10" s="81">
        <f t="shared" si="141"/>
        <v>0</v>
      </c>
      <c r="BN10" s="77" t="s">
        <v>8</v>
      </c>
      <c r="BO10" s="29" t="s">
        <v>8</v>
      </c>
      <c r="BP10" s="34">
        <f t="shared" si="142"/>
        <v>0.54816201548779253</v>
      </c>
      <c r="BQ10" s="32">
        <f t="shared" si="143"/>
        <v>6.6582524584606229E-2</v>
      </c>
      <c r="BR10" s="54">
        <f t="shared" si="144"/>
        <v>987858.42401925509</v>
      </c>
      <c r="BS10" s="132">
        <f t="shared" si="145"/>
        <v>0</v>
      </c>
      <c r="BT10" s="77" t="s">
        <v>8</v>
      </c>
      <c r="BU10" s="29" t="s">
        <v>8</v>
      </c>
      <c r="BV10" s="34">
        <f t="shared" si="146"/>
        <v>0.54816201548779253</v>
      </c>
      <c r="BW10" s="32">
        <f t="shared" si="147"/>
        <v>6.6582524584606229E-2</v>
      </c>
      <c r="BX10" s="54">
        <f t="shared" si="148"/>
        <v>987858.42401925509</v>
      </c>
      <c r="BY10" s="132">
        <f t="shared" si="149"/>
        <v>0</v>
      </c>
      <c r="BZ10" s="77" t="s">
        <v>8</v>
      </c>
      <c r="CA10" s="29" t="s">
        <v>8</v>
      </c>
      <c r="CB10" s="34">
        <f t="shared" si="150"/>
        <v>0.54816201548779253</v>
      </c>
      <c r="CC10" s="32">
        <f t="shared" si="151"/>
        <v>6.6582524584606229E-2</v>
      </c>
      <c r="CD10" s="54">
        <f t="shared" si="152"/>
        <v>987858.42401925509</v>
      </c>
      <c r="CE10" s="132">
        <f t="shared" si="153"/>
        <v>0</v>
      </c>
      <c r="CF10" s="77" t="s">
        <v>8</v>
      </c>
      <c r="CG10" s="29" t="s">
        <v>8</v>
      </c>
      <c r="CH10" s="34">
        <f t="shared" si="154"/>
        <v>0.54816201548779253</v>
      </c>
      <c r="CI10" s="32">
        <f t="shared" si="155"/>
        <v>6.6582524584606229E-2</v>
      </c>
      <c r="CJ10" s="54">
        <f t="shared" si="156"/>
        <v>987858.42401925509</v>
      </c>
      <c r="CK10" s="132">
        <f t="shared" si="157"/>
        <v>0</v>
      </c>
      <c r="CL10" s="77" t="s">
        <v>8</v>
      </c>
      <c r="CM10" s="29" t="s">
        <v>8</v>
      </c>
      <c r="CN10" s="34">
        <f t="shared" si="158"/>
        <v>0.54816201548779253</v>
      </c>
      <c r="CO10" s="32">
        <f t="shared" si="159"/>
        <v>6.6582524584606229E-2</v>
      </c>
      <c r="CP10" s="54">
        <f t="shared" si="160"/>
        <v>987858.42401925509</v>
      </c>
      <c r="CQ10" s="132">
        <f t="shared" si="161"/>
        <v>0</v>
      </c>
      <c r="CR10" s="77" t="s">
        <v>8</v>
      </c>
      <c r="CS10" s="29" t="s">
        <v>8</v>
      </c>
      <c r="CT10" s="34">
        <f t="shared" si="162"/>
        <v>0.54816201548779253</v>
      </c>
      <c r="CU10" s="32">
        <f t="shared" si="163"/>
        <v>6.6582524584606229E-2</v>
      </c>
      <c r="CV10" s="54">
        <f t="shared" si="164"/>
        <v>987858.42401925509</v>
      </c>
      <c r="CW10" s="132">
        <f t="shared" si="165"/>
        <v>0</v>
      </c>
      <c r="CX10" s="77" t="s">
        <v>8</v>
      </c>
      <c r="CY10" s="29" t="s">
        <v>8</v>
      </c>
      <c r="CZ10" s="34">
        <f t="shared" si="166"/>
        <v>0.54816201548779253</v>
      </c>
      <c r="DA10" s="32">
        <f t="shared" si="167"/>
        <v>6.6582524584606229E-2</v>
      </c>
      <c r="DB10" s="54">
        <f t="shared" si="168"/>
        <v>987858.42401925509</v>
      </c>
      <c r="DC10" s="132">
        <f t="shared" si="169"/>
        <v>0</v>
      </c>
      <c r="DD10" s="77" t="s">
        <v>8</v>
      </c>
      <c r="DE10" s="29" t="s">
        <v>8</v>
      </c>
      <c r="DF10" s="34">
        <f t="shared" si="170"/>
        <v>0.54816201548779253</v>
      </c>
      <c r="DG10" s="32">
        <f t="shared" si="171"/>
        <v>6.6582524584606229E-2</v>
      </c>
      <c r="DH10" s="54">
        <f t="shared" si="172"/>
        <v>987858.42401925509</v>
      </c>
      <c r="DI10" s="132">
        <f t="shared" si="173"/>
        <v>0</v>
      </c>
      <c r="DJ10" s="77" t="s">
        <v>8</v>
      </c>
      <c r="DK10" s="29" t="s">
        <v>8</v>
      </c>
      <c r="DL10" s="34">
        <f t="shared" si="174"/>
        <v>0.54816201548779253</v>
      </c>
      <c r="DM10" s="32">
        <f t="shared" si="175"/>
        <v>6.6582524584606229E-2</v>
      </c>
      <c r="DN10" s="54">
        <f t="shared" si="176"/>
        <v>987858.42401925509</v>
      </c>
      <c r="DO10" s="132">
        <f t="shared" si="177"/>
        <v>0</v>
      </c>
      <c r="DP10" s="77" t="s">
        <v>8</v>
      </c>
      <c r="DQ10" s="29" t="s">
        <v>8</v>
      </c>
      <c r="DR10" s="34">
        <f t="shared" si="178"/>
        <v>0.54816201548779253</v>
      </c>
      <c r="DS10" s="32">
        <f t="shared" si="179"/>
        <v>6.6582524584606229E-2</v>
      </c>
      <c r="DT10" s="54">
        <f t="shared" si="180"/>
        <v>987858.42401925509</v>
      </c>
      <c r="DU10" s="132">
        <f t="shared" si="181"/>
        <v>0</v>
      </c>
      <c r="DV10" s="77" t="s">
        <v>8</v>
      </c>
      <c r="DW10" s="29" t="s">
        <v>8</v>
      </c>
      <c r="DX10" s="34">
        <f t="shared" si="182"/>
        <v>0.54816201548779253</v>
      </c>
      <c r="DY10" s="32">
        <f t="shared" si="183"/>
        <v>6.6582524584606229E-2</v>
      </c>
      <c r="DZ10" s="33">
        <f t="shared" si="184"/>
        <v>987858.42401925509</v>
      </c>
      <c r="EA10" s="81">
        <f t="shared" si="185"/>
        <v>0</v>
      </c>
      <c r="EB10" s="77" t="s">
        <v>8</v>
      </c>
      <c r="EC10" s="29" t="s">
        <v>8</v>
      </c>
      <c r="ED10" s="34">
        <f t="shared" si="186"/>
        <v>0.54816201548779253</v>
      </c>
      <c r="EE10" s="32">
        <f t="shared" si="187"/>
        <v>6.6582524584606229E-2</v>
      </c>
      <c r="EF10" s="33">
        <f t="shared" si="188"/>
        <v>987858.42401925509</v>
      </c>
      <c r="EG10" s="81">
        <f t="shared" si="189"/>
        <v>0</v>
      </c>
      <c r="EH10" s="77" t="s">
        <v>8</v>
      </c>
      <c r="EI10" s="29" t="s">
        <v>8</v>
      </c>
      <c r="EJ10" s="34">
        <f t="shared" si="190"/>
        <v>0.54816201548779253</v>
      </c>
      <c r="EK10" s="32">
        <f t="shared" si="191"/>
        <v>6.6582524584606229E-2</v>
      </c>
      <c r="EL10" s="33">
        <f t="shared" si="192"/>
        <v>987858.42401925509</v>
      </c>
      <c r="EM10" s="81">
        <f t="shared" si="193"/>
        <v>0</v>
      </c>
      <c r="EN10" s="77" t="s">
        <v>8</v>
      </c>
      <c r="EO10" s="29" t="s">
        <v>8</v>
      </c>
      <c r="EP10" s="34">
        <f t="shared" si="194"/>
        <v>0.54816201548779253</v>
      </c>
      <c r="EQ10" s="32">
        <f t="shared" si="195"/>
        <v>6.6582524584606229E-2</v>
      </c>
      <c r="ER10" s="33">
        <f t="shared" si="196"/>
        <v>987858.42401925509</v>
      </c>
      <c r="ES10" s="81">
        <f t="shared" si="197"/>
        <v>0</v>
      </c>
      <c r="ET10" s="77" t="s">
        <v>8</v>
      </c>
      <c r="EU10" s="29" t="s">
        <v>8</v>
      </c>
      <c r="EV10" s="34">
        <f t="shared" si="198"/>
        <v>0.54816201548779253</v>
      </c>
      <c r="EW10" s="32">
        <f t="shared" si="199"/>
        <v>6.6582524584606229E-2</v>
      </c>
      <c r="EX10" s="33">
        <f t="shared" si="200"/>
        <v>987858.42401925509</v>
      </c>
      <c r="EY10" s="81">
        <f t="shared" si="201"/>
        <v>0</v>
      </c>
      <c r="EZ10" s="77" t="s">
        <v>8</v>
      </c>
      <c r="FA10" s="29" t="s">
        <v>8</v>
      </c>
      <c r="FB10" s="34">
        <f t="shared" si="202"/>
        <v>0.54816201548779253</v>
      </c>
      <c r="FC10" s="32">
        <f t="shared" si="203"/>
        <v>6.6582524584606229E-2</v>
      </c>
      <c r="FD10" s="33">
        <f t="shared" si="204"/>
        <v>987858.42401925509</v>
      </c>
      <c r="FE10" s="81">
        <f t="shared" si="205"/>
        <v>0</v>
      </c>
      <c r="FF10" s="77" t="s">
        <v>8</v>
      </c>
      <c r="FG10" s="29" t="s">
        <v>8</v>
      </c>
      <c r="FH10" s="34">
        <f t="shared" si="206"/>
        <v>0.54816201548779253</v>
      </c>
      <c r="FI10" s="32">
        <f t="shared" si="207"/>
        <v>6.6582524584606229E-2</v>
      </c>
      <c r="FJ10" s="33">
        <f t="shared" si="208"/>
        <v>987858.42401925509</v>
      </c>
      <c r="FK10" s="81">
        <f t="shared" si="209"/>
        <v>0</v>
      </c>
      <c r="FL10" s="77" t="s">
        <v>8</v>
      </c>
      <c r="FM10" s="29" t="s">
        <v>8</v>
      </c>
      <c r="FN10" s="34">
        <f t="shared" si="210"/>
        <v>0.54816201548779253</v>
      </c>
      <c r="FO10" s="32">
        <f t="shared" si="211"/>
        <v>6.6582524584606229E-2</v>
      </c>
      <c r="FP10" s="33">
        <f t="shared" si="212"/>
        <v>987858.42401925509</v>
      </c>
      <c r="FQ10" s="81">
        <f t="shared" si="213"/>
        <v>0</v>
      </c>
      <c r="FR10" s="77" t="s">
        <v>8</v>
      </c>
      <c r="FS10" s="29" t="s">
        <v>8</v>
      </c>
      <c r="FT10" s="34">
        <f t="shared" si="214"/>
        <v>0.54816201548779253</v>
      </c>
      <c r="FU10" s="32">
        <f t="shared" si="215"/>
        <v>6.6582524584606229E-2</v>
      </c>
      <c r="FV10" s="33">
        <f t="shared" si="216"/>
        <v>987858.42401925509</v>
      </c>
      <c r="FW10" s="81">
        <f t="shared" si="217"/>
        <v>0</v>
      </c>
      <c r="FX10" s="77" t="s">
        <v>8</v>
      </c>
      <c r="FY10" s="29" t="s">
        <v>8</v>
      </c>
      <c r="FZ10" s="34">
        <f t="shared" si="218"/>
        <v>0.54816201548779253</v>
      </c>
      <c r="GA10" s="32">
        <f t="shared" si="219"/>
        <v>6.6582524584606229E-2</v>
      </c>
      <c r="GB10" s="33">
        <f t="shared" si="220"/>
        <v>987858.42401925509</v>
      </c>
      <c r="GC10" s="81">
        <f t="shared" si="221"/>
        <v>0</v>
      </c>
      <c r="GD10" s="77" t="s">
        <v>8</v>
      </c>
      <c r="GE10" s="29" t="s">
        <v>8</v>
      </c>
      <c r="GF10" s="34">
        <f t="shared" si="222"/>
        <v>0.54816201548779253</v>
      </c>
      <c r="GG10" s="32">
        <f t="shared" si="223"/>
        <v>6.6582524584606229E-2</v>
      </c>
      <c r="GH10" s="33">
        <f t="shared" si="224"/>
        <v>987858.42401925509</v>
      </c>
      <c r="GI10" s="132">
        <f t="shared" si="225"/>
        <v>0</v>
      </c>
      <c r="GJ10" s="182">
        <f t="shared" ref="GJ10:GJ20" si="228">Q10+W10+AC10+AI10+AO10+AU10+BA10+BG10+BM10+BS10+BY10+CE10+CK10+CQ10+CW10+DC10+DI10+DO10+DU10+EA10+EG10+EM10+ES10+EY10+FE10+FK10+FQ10+FW10+GC10+GI10</f>
        <v>2166800.9798650187</v>
      </c>
      <c r="GK10" s="186">
        <f t="shared" si="226"/>
        <v>2398032.189959656</v>
      </c>
      <c r="GL10" s="179">
        <f t="shared" si="227"/>
        <v>0.54816201548779253</v>
      </c>
      <c r="GN10" s="184">
        <v>2398032.19</v>
      </c>
    </row>
    <row r="11" spans="1:196" s="24" customFormat="1" ht="31.2" customHeight="1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686</v>
      </c>
      <c r="H11" s="30">
        <f>'Исходные данные'!D13</f>
        <v>634129</v>
      </c>
      <c r="I11" s="31">
        <f>'Расчет КРП'!G9</f>
        <v>5.4483535562916696</v>
      </c>
      <c r="J11" s="117" t="s">
        <v>8</v>
      </c>
      <c r="K11" s="121">
        <f t="shared" si="104"/>
        <v>0.11909862745454361</v>
      </c>
      <c r="L11" s="78">
        <f t="shared" si="105"/>
        <v>115953.66237201837</v>
      </c>
      <c r="M11" s="74">
        <f t="shared" si="106"/>
        <v>0.14087640774346741</v>
      </c>
      <c r="N11" s="29" t="s">
        <v>8</v>
      </c>
      <c r="O11" s="32">
        <f t="shared" si="107"/>
        <v>0.20330216163057471</v>
      </c>
      <c r="P11" s="33">
        <f t="shared" si="108"/>
        <v>1210899.9588163283</v>
      </c>
      <c r="Q11" s="81">
        <f t="shared" si="109"/>
        <v>1210899.9588163283</v>
      </c>
      <c r="R11" s="152" t="s">
        <v>8</v>
      </c>
      <c r="S11" s="29" t="s">
        <v>8</v>
      </c>
      <c r="T11" s="34">
        <f t="shared" si="110"/>
        <v>0.36830099024921642</v>
      </c>
      <c r="U11" s="32">
        <f t="shared" si="111"/>
        <v>8.5476914538225535E-2</v>
      </c>
      <c r="V11" s="54">
        <f t="shared" si="112"/>
        <v>698927.71505322272</v>
      </c>
      <c r="W11" s="81">
        <f t="shared" si="113"/>
        <v>698927.71505322272</v>
      </c>
      <c r="X11" s="77" t="s">
        <v>8</v>
      </c>
      <c r="Y11" s="29" t="s">
        <v>8</v>
      </c>
      <c r="Z11" s="34">
        <f t="shared" si="114"/>
        <v>0.49956975662447944</v>
      </c>
      <c r="AA11" s="32">
        <f t="shared" si="115"/>
        <v>7.8775064752334423E-2</v>
      </c>
      <c r="AB11" s="54">
        <f t="shared" si="116"/>
        <v>855999.18516909983</v>
      </c>
      <c r="AC11" s="81">
        <f t="shared" si="117"/>
        <v>246447.6931930116</v>
      </c>
      <c r="AD11" s="77" t="s">
        <v>8</v>
      </c>
      <c r="AE11" s="29" t="s">
        <v>8</v>
      </c>
      <c r="AF11" s="34">
        <f t="shared" si="118"/>
        <v>0.54585620937877111</v>
      </c>
      <c r="AG11" s="32">
        <f t="shared" si="119"/>
        <v>6.8888330693627653E-2</v>
      </c>
      <c r="AH11" s="54">
        <f t="shared" si="120"/>
        <v>801995.72343046207</v>
      </c>
      <c r="AI11" s="81">
        <f t="shared" si="121"/>
        <v>0</v>
      </c>
      <c r="AJ11" s="77" t="s">
        <v>8</v>
      </c>
      <c r="AK11" s="29" t="s">
        <v>8</v>
      </c>
      <c r="AL11" s="34">
        <f t="shared" si="122"/>
        <v>0.54585620937877111</v>
      </c>
      <c r="AM11" s="32">
        <f t="shared" si="123"/>
        <v>6.8888330693627653E-2</v>
      </c>
      <c r="AN11" s="54">
        <f t="shared" si="124"/>
        <v>801995.72343046207</v>
      </c>
      <c r="AO11" s="81">
        <f t="shared" si="125"/>
        <v>0</v>
      </c>
      <c r="AP11" s="77" t="s">
        <v>8</v>
      </c>
      <c r="AQ11" s="29" t="s">
        <v>8</v>
      </c>
      <c r="AR11" s="34">
        <f t="shared" si="126"/>
        <v>0.54585620937877111</v>
      </c>
      <c r="AS11" s="32">
        <f t="shared" si="127"/>
        <v>6.8888330693627653E-2</v>
      </c>
      <c r="AT11" s="54">
        <f t="shared" si="128"/>
        <v>801995.72343046207</v>
      </c>
      <c r="AU11" s="81">
        <f t="shared" si="129"/>
        <v>0</v>
      </c>
      <c r="AV11" s="77" t="s">
        <v>8</v>
      </c>
      <c r="AW11" s="29" t="s">
        <v>8</v>
      </c>
      <c r="AX11" s="34">
        <f t="shared" si="130"/>
        <v>0.54585620937877111</v>
      </c>
      <c r="AY11" s="32">
        <f t="shared" si="131"/>
        <v>6.8888330693627653E-2</v>
      </c>
      <c r="AZ11" s="54">
        <f t="shared" si="132"/>
        <v>801995.72343046207</v>
      </c>
      <c r="BA11" s="81">
        <f t="shared" si="133"/>
        <v>0</v>
      </c>
      <c r="BB11" s="77" t="s">
        <v>8</v>
      </c>
      <c r="BC11" s="29" t="s">
        <v>8</v>
      </c>
      <c r="BD11" s="34">
        <f t="shared" si="134"/>
        <v>0.54585620937877111</v>
      </c>
      <c r="BE11" s="32">
        <f t="shared" si="135"/>
        <v>6.8888330693627653E-2</v>
      </c>
      <c r="BF11" s="54">
        <f t="shared" si="136"/>
        <v>801995.72343046207</v>
      </c>
      <c r="BG11" s="81">
        <f t="shared" si="137"/>
        <v>0</v>
      </c>
      <c r="BH11" s="77" t="s">
        <v>8</v>
      </c>
      <c r="BI11" s="29" t="s">
        <v>8</v>
      </c>
      <c r="BJ11" s="34">
        <f t="shared" si="138"/>
        <v>0.54585620937877111</v>
      </c>
      <c r="BK11" s="32">
        <f t="shared" si="139"/>
        <v>6.8888330693627653E-2</v>
      </c>
      <c r="BL11" s="54">
        <f t="shared" si="140"/>
        <v>801995.72343046207</v>
      </c>
      <c r="BM11" s="81">
        <f t="shared" si="141"/>
        <v>0</v>
      </c>
      <c r="BN11" s="77" t="s">
        <v>8</v>
      </c>
      <c r="BO11" s="29" t="s">
        <v>8</v>
      </c>
      <c r="BP11" s="34">
        <f t="shared" si="142"/>
        <v>0.54585620937877111</v>
      </c>
      <c r="BQ11" s="32">
        <f t="shared" si="143"/>
        <v>6.8888330693627653E-2</v>
      </c>
      <c r="BR11" s="54">
        <f t="shared" si="144"/>
        <v>801995.72343046207</v>
      </c>
      <c r="BS11" s="132">
        <f t="shared" si="145"/>
        <v>0</v>
      </c>
      <c r="BT11" s="77" t="s">
        <v>8</v>
      </c>
      <c r="BU11" s="29" t="s">
        <v>8</v>
      </c>
      <c r="BV11" s="34">
        <f t="shared" si="146"/>
        <v>0.54585620937877111</v>
      </c>
      <c r="BW11" s="32">
        <f t="shared" si="147"/>
        <v>6.8888330693627653E-2</v>
      </c>
      <c r="BX11" s="54">
        <f t="shared" si="148"/>
        <v>801995.72343046207</v>
      </c>
      <c r="BY11" s="132">
        <f t="shared" si="149"/>
        <v>0</v>
      </c>
      <c r="BZ11" s="77" t="s">
        <v>8</v>
      </c>
      <c r="CA11" s="29" t="s">
        <v>8</v>
      </c>
      <c r="CB11" s="34">
        <f t="shared" si="150"/>
        <v>0.54585620937877111</v>
      </c>
      <c r="CC11" s="32">
        <f t="shared" si="151"/>
        <v>6.8888330693627653E-2</v>
      </c>
      <c r="CD11" s="54">
        <f t="shared" si="152"/>
        <v>801995.72343046207</v>
      </c>
      <c r="CE11" s="132">
        <f t="shared" si="153"/>
        <v>0</v>
      </c>
      <c r="CF11" s="77" t="s">
        <v>8</v>
      </c>
      <c r="CG11" s="29" t="s">
        <v>8</v>
      </c>
      <c r="CH11" s="34">
        <f t="shared" si="154"/>
        <v>0.54585620937877111</v>
      </c>
      <c r="CI11" s="32">
        <f t="shared" si="155"/>
        <v>6.8888330693627653E-2</v>
      </c>
      <c r="CJ11" s="54">
        <f t="shared" si="156"/>
        <v>801995.72343046207</v>
      </c>
      <c r="CK11" s="132">
        <f t="shared" si="157"/>
        <v>0</v>
      </c>
      <c r="CL11" s="77" t="s">
        <v>8</v>
      </c>
      <c r="CM11" s="29" t="s">
        <v>8</v>
      </c>
      <c r="CN11" s="34">
        <f t="shared" si="158"/>
        <v>0.54585620937877111</v>
      </c>
      <c r="CO11" s="32">
        <f t="shared" si="159"/>
        <v>6.8888330693627653E-2</v>
      </c>
      <c r="CP11" s="54">
        <f t="shared" si="160"/>
        <v>801995.72343046207</v>
      </c>
      <c r="CQ11" s="132">
        <f t="shared" si="161"/>
        <v>0</v>
      </c>
      <c r="CR11" s="77" t="s">
        <v>8</v>
      </c>
      <c r="CS11" s="29" t="s">
        <v>8</v>
      </c>
      <c r="CT11" s="34">
        <f t="shared" si="162"/>
        <v>0.54585620937877111</v>
      </c>
      <c r="CU11" s="32">
        <f t="shared" si="163"/>
        <v>6.8888330693627653E-2</v>
      </c>
      <c r="CV11" s="54">
        <f t="shared" si="164"/>
        <v>801995.72343046207</v>
      </c>
      <c r="CW11" s="132">
        <f t="shared" si="165"/>
        <v>0</v>
      </c>
      <c r="CX11" s="77" t="s">
        <v>8</v>
      </c>
      <c r="CY11" s="29" t="s">
        <v>8</v>
      </c>
      <c r="CZ11" s="34">
        <f t="shared" si="166"/>
        <v>0.54585620937877111</v>
      </c>
      <c r="DA11" s="32">
        <f t="shared" si="167"/>
        <v>6.8888330693627653E-2</v>
      </c>
      <c r="DB11" s="54">
        <f t="shared" si="168"/>
        <v>801995.72343046207</v>
      </c>
      <c r="DC11" s="132">
        <f t="shared" si="169"/>
        <v>0</v>
      </c>
      <c r="DD11" s="77" t="s">
        <v>8</v>
      </c>
      <c r="DE11" s="29" t="s">
        <v>8</v>
      </c>
      <c r="DF11" s="34">
        <f t="shared" si="170"/>
        <v>0.54585620937877111</v>
      </c>
      <c r="DG11" s="32">
        <f t="shared" si="171"/>
        <v>6.8888330693627653E-2</v>
      </c>
      <c r="DH11" s="54">
        <f t="shared" si="172"/>
        <v>801995.72343046207</v>
      </c>
      <c r="DI11" s="132">
        <f t="shared" si="173"/>
        <v>0</v>
      </c>
      <c r="DJ11" s="77" t="s">
        <v>8</v>
      </c>
      <c r="DK11" s="29" t="s">
        <v>8</v>
      </c>
      <c r="DL11" s="34">
        <f t="shared" si="174"/>
        <v>0.54585620937877111</v>
      </c>
      <c r="DM11" s="32">
        <f t="shared" si="175"/>
        <v>6.8888330693627653E-2</v>
      </c>
      <c r="DN11" s="54">
        <f t="shared" si="176"/>
        <v>801995.72343046207</v>
      </c>
      <c r="DO11" s="132">
        <f t="shared" si="177"/>
        <v>0</v>
      </c>
      <c r="DP11" s="77" t="s">
        <v>8</v>
      </c>
      <c r="DQ11" s="29" t="s">
        <v>8</v>
      </c>
      <c r="DR11" s="34">
        <f t="shared" si="178"/>
        <v>0.54585620937877111</v>
      </c>
      <c r="DS11" s="32">
        <f t="shared" si="179"/>
        <v>6.8888330693627653E-2</v>
      </c>
      <c r="DT11" s="54">
        <f t="shared" si="180"/>
        <v>801995.72343046207</v>
      </c>
      <c r="DU11" s="132">
        <f t="shared" si="181"/>
        <v>0</v>
      </c>
      <c r="DV11" s="77" t="s">
        <v>8</v>
      </c>
      <c r="DW11" s="29" t="s">
        <v>8</v>
      </c>
      <c r="DX11" s="34">
        <f t="shared" si="182"/>
        <v>0.54585620937877111</v>
      </c>
      <c r="DY11" s="32">
        <f t="shared" si="183"/>
        <v>6.8888330693627653E-2</v>
      </c>
      <c r="DZ11" s="33">
        <f t="shared" si="184"/>
        <v>801995.72343046207</v>
      </c>
      <c r="EA11" s="81">
        <f t="shared" si="185"/>
        <v>0</v>
      </c>
      <c r="EB11" s="77" t="s">
        <v>8</v>
      </c>
      <c r="EC11" s="29" t="s">
        <v>8</v>
      </c>
      <c r="ED11" s="34">
        <f t="shared" si="186"/>
        <v>0.54585620937877111</v>
      </c>
      <c r="EE11" s="32">
        <f t="shared" si="187"/>
        <v>6.8888330693627653E-2</v>
      </c>
      <c r="EF11" s="33">
        <f t="shared" si="188"/>
        <v>801995.72343046207</v>
      </c>
      <c r="EG11" s="81">
        <f t="shared" si="189"/>
        <v>0</v>
      </c>
      <c r="EH11" s="77" t="s">
        <v>8</v>
      </c>
      <c r="EI11" s="29" t="s">
        <v>8</v>
      </c>
      <c r="EJ11" s="34">
        <f t="shared" si="190"/>
        <v>0.54585620937877111</v>
      </c>
      <c r="EK11" s="32">
        <f t="shared" si="191"/>
        <v>6.8888330693627653E-2</v>
      </c>
      <c r="EL11" s="33">
        <f t="shared" si="192"/>
        <v>801995.72343046207</v>
      </c>
      <c r="EM11" s="81">
        <f t="shared" si="193"/>
        <v>0</v>
      </c>
      <c r="EN11" s="77" t="s">
        <v>8</v>
      </c>
      <c r="EO11" s="29" t="s">
        <v>8</v>
      </c>
      <c r="EP11" s="34">
        <f t="shared" si="194"/>
        <v>0.54585620937877111</v>
      </c>
      <c r="EQ11" s="32">
        <f t="shared" si="195"/>
        <v>6.8888330693627653E-2</v>
      </c>
      <c r="ER11" s="33">
        <f t="shared" si="196"/>
        <v>801995.72343046207</v>
      </c>
      <c r="ES11" s="81">
        <f t="shared" si="197"/>
        <v>0</v>
      </c>
      <c r="ET11" s="77" t="s">
        <v>8</v>
      </c>
      <c r="EU11" s="29" t="s">
        <v>8</v>
      </c>
      <c r="EV11" s="34">
        <f t="shared" si="198"/>
        <v>0.54585620937877111</v>
      </c>
      <c r="EW11" s="32">
        <f t="shared" si="199"/>
        <v>6.8888330693627653E-2</v>
      </c>
      <c r="EX11" s="33">
        <f t="shared" si="200"/>
        <v>801995.72343046207</v>
      </c>
      <c r="EY11" s="81">
        <f t="shared" si="201"/>
        <v>0</v>
      </c>
      <c r="EZ11" s="77" t="s">
        <v>8</v>
      </c>
      <c r="FA11" s="29" t="s">
        <v>8</v>
      </c>
      <c r="FB11" s="34">
        <f t="shared" si="202"/>
        <v>0.54585620937877111</v>
      </c>
      <c r="FC11" s="32">
        <f t="shared" si="203"/>
        <v>6.8888330693627653E-2</v>
      </c>
      <c r="FD11" s="33">
        <f t="shared" si="204"/>
        <v>801995.72343046207</v>
      </c>
      <c r="FE11" s="81">
        <f t="shared" si="205"/>
        <v>0</v>
      </c>
      <c r="FF11" s="77" t="s">
        <v>8</v>
      </c>
      <c r="FG11" s="29" t="s">
        <v>8</v>
      </c>
      <c r="FH11" s="34">
        <f t="shared" si="206"/>
        <v>0.54585620937877111</v>
      </c>
      <c r="FI11" s="32">
        <f t="shared" si="207"/>
        <v>6.8888330693627653E-2</v>
      </c>
      <c r="FJ11" s="33">
        <f t="shared" si="208"/>
        <v>801995.72343046207</v>
      </c>
      <c r="FK11" s="81">
        <f t="shared" si="209"/>
        <v>0</v>
      </c>
      <c r="FL11" s="77" t="s">
        <v>8</v>
      </c>
      <c r="FM11" s="29" t="s">
        <v>8</v>
      </c>
      <c r="FN11" s="34">
        <f t="shared" si="210"/>
        <v>0.54585620937877111</v>
      </c>
      <c r="FO11" s="32">
        <f t="shared" si="211"/>
        <v>6.8888330693627653E-2</v>
      </c>
      <c r="FP11" s="33">
        <f t="shared" si="212"/>
        <v>801995.72343046207</v>
      </c>
      <c r="FQ11" s="81">
        <f t="shared" si="213"/>
        <v>0</v>
      </c>
      <c r="FR11" s="77" t="s">
        <v>8</v>
      </c>
      <c r="FS11" s="29" t="s">
        <v>8</v>
      </c>
      <c r="FT11" s="34">
        <f t="shared" si="214"/>
        <v>0.54585620937877111</v>
      </c>
      <c r="FU11" s="32">
        <f t="shared" si="215"/>
        <v>6.8888330693627653E-2</v>
      </c>
      <c r="FV11" s="33">
        <f t="shared" si="216"/>
        <v>801995.72343046207</v>
      </c>
      <c r="FW11" s="81">
        <f t="shared" si="217"/>
        <v>0</v>
      </c>
      <c r="FX11" s="77" t="s">
        <v>8</v>
      </c>
      <c r="FY11" s="29" t="s">
        <v>8</v>
      </c>
      <c r="FZ11" s="34">
        <f t="shared" si="218"/>
        <v>0.54585620937877111</v>
      </c>
      <c r="GA11" s="32">
        <f t="shared" si="219"/>
        <v>6.8888330693627653E-2</v>
      </c>
      <c r="GB11" s="33">
        <f t="shared" si="220"/>
        <v>801995.72343046207</v>
      </c>
      <c r="GC11" s="81">
        <f t="shared" si="221"/>
        <v>0</v>
      </c>
      <c r="GD11" s="77" t="s">
        <v>8</v>
      </c>
      <c r="GE11" s="29" t="s">
        <v>8</v>
      </c>
      <c r="GF11" s="34">
        <f t="shared" si="222"/>
        <v>0.54585620937877111</v>
      </c>
      <c r="GG11" s="32">
        <f t="shared" si="223"/>
        <v>6.8888330693627653E-2</v>
      </c>
      <c r="GH11" s="33">
        <f t="shared" si="224"/>
        <v>801995.72343046207</v>
      </c>
      <c r="GI11" s="132">
        <f t="shared" si="225"/>
        <v>0</v>
      </c>
      <c r="GJ11" s="182">
        <f t="shared" si="228"/>
        <v>2156275.3670625626</v>
      </c>
      <c r="GK11" s="186">
        <f t="shared" si="226"/>
        <v>2272229.0294345808</v>
      </c>
      <c r="GL11" s="179">
        <f t="shared" si="227"/>
        <v>0.545856209378771</v>
      </c>
      <c r="GN11" s="184">
        <v>2272229.0299999998</v>
      </c>
    </row>
    <row r="12" spans="1:196" s="24" customFormat="1" ht="36" customHeight="1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1567</v>
      </c>
      <c r="H12" s="30">
        <f>'Исходные данные'!D14</f>
        <v>1886013</v>
      </c>
      <c r="I12" s="31">
        <f>'Расчет КРП'!G10</f>
        <v>3.8472955451484645</v>
      </c>
      <c r="J12" s="117" t="s">
        <v>8</v>
      </c>
      <c r="K12" s="121">
        <f t="shared" si="104"/>
        <v>0.2196032056620065</v>
      </c>
      <c r="L12" s="78">
        <f t="shared" si="105"/>
        <v>264867.91390226356</v>
      </c>
      <c r="M12" s="74">
        <f t="shared" si="106"/>
        <v>0.25044384301177314</v>
      </c>
      <c r="N12" s="29" t="s">
        <v>8</v>
      </c>
      <c r="O12" s="32">
        <f t="shared" si="107"/>
        <v>9.3734726362268983E-2</v>
      </c>
      <c r="P12" s="33">
        <f t="shared" si="108"/>
        <v>900537.76923319523</v>
      </c>
      <c r="Q12" s="81">
        <f t="shared" si="109"/>
        <v>900537.76923319523</v>
      </c>
      <c r="R12" s="152" t="s">
        <v>8</v>
      </c>
      <c r="S12" s="29" t="s">
        <v>8</v>
      </c>
      <c r="T12" s="34">
        <f t="shared" si="110"/>
        <v>0.35530048023713789</v>
      </c>
      <c r="U12" s="32">
        <f t="shared" si="111"/>
        <v>9.847742455030406E-2</v>
      </c>
      <c r="V12" s="54">
        <f t="shared" si="112"/>
        <v>1298838.8050550548</v>
      </c>
      <c r="W12" s="81">
        <f t="shared" si="113"/>
        <v>1298838.8050550548</v>
      </c>
      <c r="X12" s="77" t="s">
        <v>8</v>
      </c>
      <c r="Y12" s="29" t="s">
        <v>8</v>
      </c>
      <c r="Z12" s="34">
        <f t="shared" si="114"/>
        <v>0.50653441405853783</v>
      </c>
      <c r="AA12" s="32">
        <f t="shared" si="115"/>
        <v>7.1810407318276037E-2</v>
      </c>
      <c r="AB12" s="54">
        <f t="shared" si="116"/>
        <v>1258656.2037831848</v>
      </c>
      <c r="AC12" s="81">
        <f t="shared" si="117"/>
        <v>362375.24908877269</v>
      </c>
      <c r="AD12" s="77" t="s">
        <v>8</v>
      </c>
      <c r="AE12" s="29" t="s">
        <v>8</v>
      </c>
      <c r="AF12" s="34">
        <f t="shared" si="118"/>
        <v>0.54872859106180483</v>
      </c>
      <c r="AG12" s="32">
        <f t="shared" si="119"/>
        <v>6.6015949010593933E-2</v>
      </c>
      <c r="AH12" s="54">
        <f t="shared" si="120"/>
        <v>1239682.3285945985</v>
      </c>
      <c r="AI12" s="81">
        <f t="shared" si="121"/>
        <v>0</v>
      </c>
      <c r="AJ12" s="77" t="s">
        <v>8</v>
      </c>
      <c r="AK12" s="29" t="s">
        <v>8</v>
      </c>
      <c r="AL12" s="34">
        <f t="shared" si="122"/>
        <v>0.54872859106180483</v>
      </c>
      <c r="AM12" s="32">
        <f t="shared" si="123"/>
        <v>6.6015949010593933E-2</v>
      </c>
      <c r="AN12" s="54">
        <f t="shared" si="124"/>
        <v>1239682.3285945985</v>
      </c>
      <c r="AO12" s="81">
        <f t="shared" si="125"/>
        <v>0</v>
      </c>
      <c r="AP12" s="77" t="s">
        <v>8</v>
      </c>
      <c r="AQ12" s="29" t="s">
        <v>8</v>
      </c>
      <c r="AR12" s="34">
        <f t="shared" si="126"/>
        <v>0.54872859106180483</v>
      </c>
      <c r="AS12" s="32">
        <f t="shared" si="127"/>
        <v>6.6015949010593933E-2</v>
      </c>
      <c r="AT12" s="54">
        <f t="shared" si="128"/>
        <v>1239682.3285945985</v>
      </c>
      <c r="AU12" s="81">
        <f t="shared" si="129"/>
        <v>0</v>
      </c>
      <c r="AV12" s="77" t="s">
        <v>8</v>
      </c>
      <c r="AW12" s="29" t="s">
        <v>8</v>
      </c>
      <c r="AX12" s="34">
        <f t="shared" si="130"/>
        <v>0.54872859106180483</v>
      </c>
      <c r="AY12" s="32">
        <f t="shared" si="131"/>
        <v>6.6015949010593933E-2</v>
      </c>
      <c r="AZ12" s="54">
        <f t="shared" si="132"/>
        <v>1239682.3285945985</v>
      </c>
      <c r="BA12" s="81">
        <f t="shared" si="133"/>
        <v>0</v>
      </c>
      <c r="BB12" s="77" t="s">
        <v>8</v>
      </c>
      <c r="BC12" s="29" t="s">
        <v>8</v>
      </c>
      <c r="BD12" s="34">
        <f t="shared" si="134"/>
        <v>0.54872859106180483</v>
      </c>
      <c r="BE12" s="32">
        <f t="shared" si="135"/>
        <v>6.6015949010593933E-2</v>
      </c>
      <c r="BF12" s="54">
        <f t="shared" si="136"/>
        <v>1239682.3285945985</v>
      </c>
      <c r="BG12" s="81">
        <f t="shared" si="137"/>
        <v>0</v>
      </c>
      <c r="BH12" s="77" t="s">
        <v>8</v>
      </c>
      <c r="BI12" s="29" t="s">
        <v>8</v>
      </c>
      <c r="BJ12" s="34">
        <f t="shared" si="138"/>
        <v>0.54872859106180483</v>
      </c>
      <c r="BK12" s="32">
        <f t="shared" si="139"/>
        <v>6.6015949010593933E-2</v>
      </c>
      <c r="BL12" s="54">
        <f t="shared" si="140"/>
        <v>1239682.3285945985</v>
      </c>
      <c r="BM12" s="81">
        <f t="shared" si="141"/>
        <v>0</v>
      </c>
      <c r="BN12" s="77" t="s">
        <v>8</v>
      </c>
      <c r="BO12" s="29" t="s">
        <v>8</v>
      </c>
      <c r="BP12" s="34">
        <f t="shared" si="142"/>
        <v>0.54872859106180483</v>
      </c>
      <c r="BQ12" s="32">
        <f t="shared" si="143"/>
        <v>6.6015949010593933E-2</v>
      </c>
      <c r="BR12" s="54">
        <f t="shared" si="144"/>
        <v>1239682.3285945985</v>
      </c>
      <c r="BS12" s="132">
        <f t="shared" si="145"/>
        <v>0</v>
      </c>
      <c r="BT12" s="77" t="s">
        <v>8</v>
      </c>
      <c r="BU12" s="29" t="s">
        <v>8</v>
      </c>
      <c r="BV12" s="34">
        <f t="shared" si="146"/>
        <v>0.54872859106180483</v>
      </c>
      <c r="BW12" s="32">
        <f t="shared" si="147"/>
        <v>6.6015949010593933E-2</v>
      </c>
      <c r="BX12" s="54">
        <f t="shared" si="148"/>
        <v>1239682.3285945985</v>
      </c>
      <c r="BY12" s="132">
        <f t="shared" si="149"/>
        <v>0</v>
      </c>
      <c r="BZ12" s="77" t="s">
        <v>8</v>
      </c>
      <c r="CA12" s="29" t="s">
        <v>8</v>
      </c>
      <c r="CB12" s="34">
        <f t="shared" si="150"/>
        <v>0.54872859106180483</v>
      </c>
      <c r="CC12" s="32">
        <f t="shared" si="151"/>
        <v>6.6015949010593933E-2</v>
      </c>
      <c r="CD12" s="54">
        <f t="shared" si="152"/>
        <v>1239682.3285945985</v>
      </c>
      <c r="CE12" s="132">
        <f t="shared" si="153"/>
        <v>0</v>
      </c>
      <c r="CF12" s="77" t="s">
        <v>8</v>
      </c>
      <c r="CG12" s="29" t="s">
        <v>8</v>
      </c>
      <c r="CH12" s="34">
        <f t="shared" si="154"/>
        <v>0.54872859106180483</v>
      </c>
      <c r="CI12" s="32">
        <f t="shared" si="155"/>
        <v>6.6015949010593933E-2</v>
      </c>
      <c r="CJ12" s="54">
        <f t="shared" si="156"/>
        <v>1239682.3285945985</v>
      </c>
      <c r="CK12" s="132">
        <f t="shared" si="157"/>
        <v>0</v>
      </c>
      <c r="CL12" s="77" t="s">
        <v>8</v>
      </c>
      <c r="CM12" s="29" t="s">
        <v>8</v>
      </c>
      <c r="CN12" s="34">
        <f t="shared" si="158"/>
        <v>0.54872859106180483</v>
      </c>
      <c r="CO12" s="32">
        <f t="shared" si="159"/>
        <v>6.6015949010593933E-2</v>
      </c>
      <c r="CP12" s="54">
        <f t="shared" si="160"/>
        <v>1239682.3285945985</v>
      </c>
      <c r="CQ12" s="132">
        <f t="shared" si="161"/>
        <v>0</v>
      </c>
      <c r="CR12" s="77" t="s">
        <v>8</v>
      </c>
      <c r="CS12" s="29" t="s">
        <v>8</v>
      </c>
      <c r="CT12" s="34">
        <f t="shared" si="162"/>
        <v>0.54872859106180483</v>
      </c>
      <c r="CU12" s="32">
        <f t="shared" si="163"/>
        <v>6.6015949010593933E-2</v>
      </c>
      <c r="CV12" s="54">
        <f t="shared" si="164"/>
        <v>1239682.3285945985</v>
      </c>
      <c r="CW12" s="132">
        <f t="shared" si="165"/>
        <v>0</v>
      </c>
      <c r="CX12" s="77" t="s">
        <v>8</v>
      </c>
      <c r="CY12" s="29" t="s">
        <v>8</v>
      </c>
      <c r="CZ12" s="34">
        <f t="shared" si="166"/>
        <v>0.54872859106180483</v>
      </c>
      <c r="DA12" s="32">
        <f t="shared" si="167"/>
        <v>6.6015949010593933E-2</v>
      </c>
      <c r="DB12" s="54">
        <f t="shared" si="168"/>
        <v>1239682.3285945985</v>
      </c>
      <c r="DC12" s="132">
        <f t="shared" si="169"/>
        <v>0</v>
      </c>
      <c r="DD12" s="77" t="s">
        <v>8</v>
      </c>
      <c r="DE12" s="29" t="s">
        <v>8</v>
      </c>
      <c r="DF12" s="34">
        <f t="shared" si="170"/>
        <v>0.54872859106180483</v>
      </c>
      <c r="DG12" s="32">
        <f t="shared" si="171"/>
        <v>6.6015949010593933E-2</v>
      </c>
      <c r="DH12" s="54">
        <f t="shared" si="172"/>
        <v>1239682.3285945985</v>
      </c>
      <c r="DI12" s="132">
        <f t="shared" si="173"/>
        <v>0</v>
      </c>
      <c r="DJ12" s="77" t="s">
        <v>8</v>
      </c>
      <c r="DK12" s="29" t="s">
        <v>8</v>
      </c>
      <c r="DL12" s="34">
        <f t="shared" si="174"/>
        <v>0.54872859106180483</v>
      </c>
      <c r="DM12" s="32">
        <f t="shared" si="175"/>
        <v>6.6015949010593933E-2</v>
      </c>
      <c r="DN12" s="54">
        <f t="shared" si="176"/>
        <v>1239682.3285945985</v>
      </c>
      <c r="DO12" s="132">
        <f t="shared" si="177"/>
        <v>0</v>
      </c>
      <c r="DP12" s="77" t="s">
        <v>8</v>
      </c>
      <c r="DQ12" s="29" t="s">
        <v>8</v>
      </c>
      <c r="DR12" s="34">
        <f t="shared" si="178"/>
        <v>0.54872859106180483</v>
      </c>
      <c r="DS12" s="32">
        <f t="shared" si="179"/>
        <v>6.6015949010593933E-2</v>
      </c>
      <c r="DT12" s="54">
        <f t="shared" si="180"/>
        <v>1239682.3285945985</v>
      </c>
      <c r="DU12" s="132">
        <f t="shared" si="181"/>
        <v>0</v>
      </c>
      <c r="DV12" s="77" t="s">
        <v>8</v>
      </c>
      <c r="DW12" s="29" t="s">
        <v>8</v>
      </c>
      <c r="DX12" s="34">
        <f t="shared" si="182"/>
        <v>0.54872859106180483</v>
      </c>
      <c r="DY12" s="32">
        <f t="shared" si="183"/>
        <v>6.6015949010593933E-2</v>
      </c>
      <c r="DZ12" s="33">
        <f t="shared" si="184"/>
        <v>1239682.3285945985</v>
      </c>
      <c r="EA12" s="81">
        <f t="shared" si="185"/>
        <v>0</v>
      </c>
      <c r="EB12" s="77" t="s">
        <v>8</v>
      </c>
      <c r="EC12" s="29" t="s">
        <v>8</v>
      </c>
      <c r="ED12" s="34">
        <f t="shared" si="186"/>
        <v>0.54872859106180483</v>
      </c>
      <c r="EE12" s="32">
        <f t="shared" si="187"/>
        <v>6.6015949010593933E-2</v>
      </c>
      <c r="EF12" s="33">
        <f t="shared" si="188"/>
        <v>1239682.3285945985</v>
      </c>
      <c r="EG12" s="81">
        <f t="shared" si="189"/>
        <v>0</v>
      </c>
      <c r="EH12" s="77" t="s">
        <v>8</v>
      </c>
      <c r="EI12" s="29" t="s">
        <v>8</v>
      </c>
      <c r="EJ12" s="34">
        <f t="shared" si="190"/>
        <v>0.54872859106180483</v>
      </c>
      <c r="EK12" s="32">
        <f t="shared" si="191"/>
        <v>6.6015949010593933E-2</v>
      </c>
      <c r="EL12" s="33">
        <f t="shared" si="192"/>
        <v>1239682.3285945985</v>
      </c>
      <c r="EM12" s="81">
        <f t="shared" si="193"/>
        <v>0</v>
      </c>
      <c r="EN12" s="77" t="s">
        <v>8</v>
      </c>
      <c r="EO12" s="29" t="s">
        <v>8</v>
      </c>
      <c r="EP12" s="34">
        <f t="shared" si="194"/>
        <v>0.54872859106180483</v>
      </c>
      <c r="EQ12" s="32">
        <f t="shared" si="195"/>
        <v>6.6015949010593933E-2</v>
      </c>
      <c r="ER12" s="33">
        <f t="shared" si="196"/>
        <v>1239682.3285945985</v>
      </c>
      <c r="ES12" s="81">
        <f t="shared" si="197"/>
        <v>0</v>
      </c>
      <c r="ET12" s="77" t="s">
        <v>8</v>
      </c>
      <c r="EU12" s="29" t="s">
        <v>8</v>
      </c>
      <c r="EV12" s="34">
        <f t="shared" si="198"/>
        <v>0.54872859106180483</v>
      </c>
      <c r="EW12" s="32">
        <f t="shared" si="199"/>
        <v>6.6015949010593933E-2</v>
      </c>
      <c r="EX12" s="33">
        <f t="shared" si="200"/>
        <v>1239682.3285945985</v>
      </c>
      <c r="EY12" s="81">
        <f t="shared" si="201"/>
        <v>0</v>
      </c>
      <c r="EZ12" s="77" t="s">
        <v>8</v>
      </c>
      <c r="FA12" s="29" t="s">
        <v>8</v>
      </c>
      <c r="FB12" s="34">
        <f t="shared" si="202"/>
        <v>0.54872859106180483</v>
      </c>
      <c r="FC12" s="32">
        <f t="shared" si="203"/>
        <v>6.6015949010593933E-2</v>
      </c>
      <c r="FD12" s="33">
        <f t="shared" si="204"/>
        <v>1239682.3285945985</v>
      </c>
      <c r="FE12" s="81">
        <f t="shared" si="205"/>
        <v>0</v>
      </c>
      <c r="FF12" s="77" t="s">
        <v>8</v>
      </c>
      <c r="FG12" s="29" t="s">
        <v>8</v>
      </c>
      <c r="FH12" s="34">
        <f t="shared" si="206"/>
        <v>0.54872859106180483</v>
      </c>
      <c r="FI12" s="32">
        <f t="shared" si="207"/>
        <v>6.6015949010593933E-2</v>
      </c>
      <c r="FJ12" s="33">
        <f t="shared" si="208"/>
        <v>1239682.3285945985</v>
      </c>
      <c r="FK12" s="81">
        <f t="shared" si="209"/>
        <v>0</v>
      </c>
      <c r="FL12" s="77" t="s">
        <v>8</v>
      </c>
      <c r="FM12" s="29" t="s">
        <v>8</v>
      </c>
      <c r="FN12" s="34">
        <f t="shared" si="210"/>
        <v>0.54872859106180483</v>
      </c>
      <c r="FO12" s="32">
        <f t="shared" si="211"/>
        <v>6.6015949010593933E-2</v>
      </c>
      <c r="FP12" s="33">
        <f t="shared" si="212"/>
        <v>1239682.3285945985</v>
      </c>
      <c r="FQ12" s="81">
        <f t="shared" si="213"/>
        <v>0</v>
      </c>
      <c r="FR12" s="77" t="s">
        <v>8</v>
      </c>
      <c r="FS12" s="29" t="s">
        <v>8</v>
      </c>
      <c r="FT12" s="34">
        <f t="shared" si="214"/>
        <v>0.54872859106180483</v>
      </c>
      <c r="FU12" s="32">
        <f t="shared" si="215"/>
        <v>6.6015949010593933E-2</v>
      </c>
      <c r="FV12" s="33">
        <f t="shared" si="216"/>
        <v>1239682.3285945985</v>
      </c>
      <c r="FW12" s="81">
        <f t="shared" si="217"/>
        <v>0</v>
      </c>
      <c r="FX12" s="77" t="s">
        <v>8</v>
      </c>
      <c r="FY12" s="29" t="s">
        <v>8</v>
      </c>
      <c r="FZ12" s="34">
        <f t="shared" si="218"/>
        <v>0.54872859106180483</v>
      </c>
      <c r="GA12" s="32">
        <f t="shared" si="219"/>
        <v>6.6015949010593933E-2</v>
      </c>
      <c r="GB12" s="33">
        <f t="shared" si="220"/>
        <v>1239682.3285945985</v>
      </c>
      <c r="GC12" s="81">
        <f t="shared" si="221"/>
        <v>0</v>
      </c>
      <c r="GD12" s="77" t="s">
        <v>8</v>
      </c>
      <c r="GE12" s="29" t="s">
        <v>8</v>
      </c>
      <c r="GF12" s="34">
        <f t="shared" si="222"/>
        <v>0.54872859106180483</v>
      </c>
      <c r="GG12" s="32">
        <f t="shared" si="223"/>
        <v>6.6015949010593933E-2</v>
      </c>
      <c r="GH12" s="33">
        <f t="shared" si="224"/>
        <v>1239682.3285945985</v>
      </c>
      <c r="GI12" s="132">
        <f t="shared" si="225"/>
        <v>0</v>
      </c>
      <c r="GJ12" s="182">
        <f t="shared" si="228"/>
        <v>2561751.8233770225</v>
      </c>
      <c r="GK12" s="186">
        <f t="shared" si="226"/>
        <v>2826619.7372792861</v>
      </c>
      <c r="GL12" s="179">
        <f t="shared" si="227"/>
        <v>0.54872859106180483</v>
      </c>
      <c r="GN12" s="184">
        <v>2826619.74</v>
      </c>
    </row>
    <row r="13" spans="1:196" s="24" customFormat="1" ht="31.2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1255</v>
      </c>
      <c r="H13" s="30">
        <f>'Исходные данные'!D15</f>
        <v>1459238</v>
      </c>
      <c r="I13" s="31">
        <f>'Расчет КРП'!G11</f>
        <v>5.7205226096550215</v>
      </c>
      <c r="J13" s="117" t="s">
        <v>8</v>
      </c>
      <c r="K13" s="121">
        <f t="shared" si="104"/>
        <v>0.14268070216674816</v>
      </c>
      <c r="L13" s="78">
        <f t="shared" si="105"/>
        <v>212130.97124910066</v>
      </c>
      <c r="M13" s="74">
        <f t="shared" si="106"/>
        <v>0.16342234672996267</v>
      </c>
      <c r="N13" s="29" t="s">
        <v>8</v>
      </c>
      <c r="O13" s="32">
        <f t="shared" si="107"/>
        <v>0.18075622264407945</v>
      </c>
      <c r="P13" s="33">
        <f t="shared" si="108"/>
        <v>2067995.3577342385</v>
      </c>
      <c r="Q13" s="81">
        <f t="shared" si="109"/>
        <v>2067995.3577342385</v>
      </c>
      <c r="R13" s="152" t="s">
        <v>8</v>
      </c>
      <c r="S13" s="29" t="s">
        <v>8</v>
      </c>
      <c r="T13" s="34">
        <f t="shared" si="110"/>
        <v>0.36562584589808789</v>
      </c>
      <c r="U13" s="32">
        <f t="shared" si="111"/>
        <v>8.8152058889354068E-2</v>
      </c>
      <c r="V13" s="54">
        <f t="shared" si="112"/>
        <v>1384541.3149143197</v>
      </c>
      <c r="W13" s="81">
        <f t="shared" si="113"/>
        <v>1384541.3149143197</v>
      </c>
      <c r="X13" s="77" t="s">
        <v>8</v>
      </c>
      <c r="Y13" s="29" t="s">
        <v>8</v>
      </c>
      <c r="Z13" s="34">
        <f t="shared" si="114"/>
        <v>0.50100288993809228</v>
      </c>
      <c r="AA13" s="32">
        <f t="shared" si="115"/>
        <v>7.7341931438721589E-2</v>
      </c>
      <c r="AB13" s="54">
        <f t="shared" si="116"/>
        <v>1614320.0106081271</v>
      </c>
      <c r="AC13" s="81">
        <f t="shared" si="117"/>
        <v>464773.15584254661</v>
      </c>
      <c r="AD13" s="77" t="s">
        <v>8</v>
      </c>
      <c r="AE13" s="29" t="s">
        <v>8</v>
      </c>
      <c r="AF13" s="34">
        <f t="shared" si="118"/>
        <v>0.54644726585474879</v>
      </c>
      <c r="AG13" s="32">
        <f t="shared" si="119"/>
        <v>6.8297274217649973E-2</v>
      </c>
      <c r="AH13" s="54">
        <f t="shared" si="120"/>
        <v>1527283.9817397052</v>
      </c>
      <c r="AI13" s="81">
        <f t="shared" si="121"/>
        <v>0</v>
      </c>
      <c r="AJ13" s="77" t="s">
        <v>8</v>
      </c>
      <c r="AK13" s="29" t="s">
        <v>8</v>
      </c>
      <c r="AL13" s="34">
        <f t="shared" si="122"/>
        <v>0.54644726585474879</v>
      </c>
      <c r="AM13" s="32">
        <f t="shared" si="123"/>
        <v>6.8297274217649973E-2</v>
      </c>
      <c r="AN13" s="54">
        <f t="shared" si="124"/>
        <v>1527283.9817397052</v>
      </c>
      <c r="AO13" s="81">
        <f t="shared" si="125"/>
        <v>0</v>
      </c>
      <c r="AP13" s="77" t="s">
        <v>8</v>
      </c>
      <c r="AQ13" s="29" t="s">
        <v>8</v>
      </c>
      <c r="AR13" s="34">
        <f t="shared" si="126"/>
        <v>0.54644726585474879</v>
      </c>
      <c r="AS13" s="32">
        <f t="shared" si="127"/>
        <v>6.8297274217649973E-2</v>
      </c>
      <c r="AT13" s="54">
        <f t="shared" si="128"/>
        <v>1527283.9817397052</v>
      </c>
      <c r="AU13" s="81">
        <f t="shared" si="129"/>
        <v>0</v>
      </c>
      <c r="AV13" s="77" t="s">
        <v>8</v>
      </c>
      <c r="AW13" s="29" t="s">
        <v>8</v>
      </c>
      <c r="AX13" s="34">
        <f t="shared" si="130"/>
        <v>0.54644726585474879</v>
      </c>
      <c r="AY13" s="32">
        <f t="shared" si="131"/>
        <v>6.8297274217649973E-2</v>
      </c>
      <c r="AZ13" s="54">
        <f t="shared" si="132"/>
        <v>1527283.9817397052</v>
      </c>
      <c r="BA13" s="81">
        <f t="shared" si="133"/>
        <v>0</v>
      </c>
      <c r="BB13" s="77" t="s">
        <v>8</v>
      </c>
      <c r="BC13" s="29" t="s">
        <v>8</v>
      </c>
      <c r="BD13" s="34">
        <f t="shared" si="134"/>
        <v>0.54644726585474879</v>
      </c>
      <c r="BE13" s="32">
        <f t="shared" si="135"/>
        <v>6.8297274217649973E-2</v>
      </c>
      <c r="BF13" s="54">
        <f t="shared" si="136"/>
        <v>1527283.9817397052</v>
      </c>
      <c r="BG13" s="81">
        <f t="shared" si="137"/>
        <v>0</v>
      </c>
      <c r="BH13" s="77" t="s">
        <v>8</v>
      </c>
      <c r="BI13" s="29" t="s">
        <v>8</v>
      </c>
      <c r="BJ13" s="34">
        <f t="shared" si="138"/>
        <v>0.54644726585474879</v>
      </c>
      <c r="BK13" s="32">
        <f t="shared" si="139"/>
        <v>6.8297274217649973E-2</v>
      </c>
      <c r="BL13" s="54">
        <f t="shared" si="140"/>
        <v>1527283.9817397052</v>
      </c>
      <c r="BM13" s="81">
        <f t="shared" si="141"/>
        <v>0</v>
      </c>
      <c r="BN13" s="77" t="s">
        <v>8</v>
      </c>
      <c r="BO13" s="29" t="s">
        <v>8</v>
      </c>
      <c r="BP13" s="34">
        <f t="shared" si="142"/>
        <v>0.54644726585474879</v>
      </c>
      <c r="BQ13" s="32">
        <f t="shared" si="143"/>
        <v>6.8297274217649973E-2</v>
      </c>
      <c r="BR13" s="54">
        <f t="shared" si="144"/>
        <v>1527283.9817397052</v>
      </c>
      <c r="BS13" s="132">
        <f t="shared" si="145"/>
        <v>0</v>
      </c>
      <c r="BT13" s="77" t="s">
        <v>8</v>
      </c>
      <c r="BU13" s="29" t="s">
        <v>8</v>
      </c>
      <c r="BV13" s="34">
        <f t="shared" si="146"/>
        <v>0.54644726585474879</v>
      </c>
      <c r="BW13" s="32">
        <f t="shared" si="147"/>
        <v>6.8297274217649973E-2</v>
      </c>
      <c r="BX13" s="54">
        <f t="shared" si="148"/>
        <v>1527283.9817397052</v>
      </c>
      <c r="BY13" s="132">
        <f t="shared" si="149"/>
        <v>0</v>
      </c>
      <c r="BZ13" s="77" t="s">
        <v>8</v>
      </c>
      <c r="CA13" s="29" t="s">
        <v>8</v>
      </c>
      <c r="CB13" s="34">
        <f t="shared" si="150"/>
        <v>0.54644726585474879</v>
      </c>
      <c r="CC13" s="32">
        <f t="shared" si="151"/>
        <v>6.8297274217649973E-2</v>
      </c>
      <c r="CD13" s="54">
        <f t="shared" si="152"/>
        <v>1527283.9817397052</v>
      </c>
      <c r="CE13" s="132">
        <f t="shared" si="153"/>
        <v>0</v>
      </c>
      <c r="CF13" s="77" t="s">
        <v>8</v>
      </c>
      <c r="CG13" s="29" t="s">
        <v>8</v>
      </c>
      <c r="CH13" s="34">
        <f t="shared" si="154"/>
        <v>0.54644726585474879</v>
      </c>
      <c r="CI13" s="32">
        <f t="shared" si="155"/>
        <v>6.8297274217649973E-2</v>
      </c>
      <c r="CJ13" s="54">
        <f t="shared" si="156"/>
        <v>1527283.9817397052</v>
      </c>
      <c r="CK13" s="132">
        <f t="shared" si="157"/>
        <v>0</v>
      </c>
      <c r="CL13" s="77" t="s">
        <v>8</v>
      </c>
      <c r="CM13" s="29" t="s">
        <v>8</v>
      </c>
      <c r="CN13" s="34">
        <f t="shared" si="158"/>
        <v>0.54644726585474879</v>
      </c>
      <c r="CO13" s="32">
        <f t="shared" si="159"/>
        <v>6.8297274217649973E-2</v>
      </c>
      <c r="CP13" s="54">
        <f t="shared" si="160"/>
        <v>1527283.9817397052</v>
      </c>
      <c r="CQ13" s="132">
        <f t="shared" si="161"/>
        <v>0</v>
      </c>
      <c r="CR13" s="77" t="s">
        <v>8</v>
      </c>
      <c r="CS13" s="29" t="s">
        <v>8</v>
      </c>
      <c r="CT13" s="34">
        <f t="shared" si="162"/>
        <v>0.54644726585474879</v>
      </c>
      <c r="CU13" s="32">
        <f t="shared" si="163"/>
        <v>6.8297274217649973E-2</v>
      </c>
      <c r="CV13" s="54">
        <f t="shared" si="164"/>
        <v>1527283.9817397052</v>
      </c>
      <c r="CW13" s="132">
        <f t="shared" si="165"/>
        <v>0</v>
      </c>
      <c r="CX13" s="77" t="s">
        <v>8</v>
      </c>
      <c r="CY13" s="29" t="s">
        <v>8</v>
      </c>
      <c r="CZ13" s="34">
        <f t="shared" si="166"/>
        <v>0.54644726585474879</v>
      </c>
      <c r="DA13" s="32">
        <f t="shared" si="167"/>
        <v>6.8297274217649973E-2</v>
      </c>
      <c r="DB13" s="54">
        <f t="shared" si="168"/>
        <v>1527283.9817397052</v>
      </c>
      <c r="DC13" s="132">
        <f t="shared" si="169"/>
        <v>0</v>
      </c>
      <c r="DD13" s="77" t="s">
        <v>8</v>
      </c>
      <c r="DE13" s="29" t="s">
        <v>8</v>
      </c>
      <c r="DF13" s="34">
        <f t="shared" si="170"/>
        <v>0.54644726585474879</v>
      </c>
      <c r="DG13" s="32">
        <f t="shared" si="171"/>
        <v>6.8297274217649973E-2</v>
      </c>
      <c r="DH13" s="54">
        <f t="shared" si="172"/>
        <v>1527283.9817397052</v>
      </c>
      <c r="DI13" s="132">
        <f t="shared" si="173"/>
        <v>0</v>
      </c>
      <c r="DJ13" s="77" t="s">
        <v>8</v>
      </c>
      <c r="DK13" s="29" t="s">
        <v>8</v>
      </c>
      <c r="DL13" s="34">
        <f t="shared" si="174"/>
        <v>0.54644726585474879</v>
      </c>
      <c r="DM13" s="32">
        <f t="shared" si="175"/>
        <v>6.8297274217649973E-2</v>
      </c>
      <c r="DN13" s="54">
        <f t="shared" si="176"/>
        <v>1527283.9817397052</v>
      </c>
      <c r="DO13" s="132">
        <f t="shared" si="177"/>
        <v>0</v>
      </c>
      <c r="DP13" s="77" t="s">
        <v>8</v>
      </c>
      <c r="DQ13" s="29" t="s">
        <v>8</v>
      </c>
      <c r="DR13" s="34">
        <f t="shared" si="178"/>
        <v>0.54644726585474879</v>
      </c>
      <c r="DS13" s="32">
        <f t="shared" si="179"/>
        <v>6.8297274217649973E-2</v>
      </c>
      <c r="DT13" s="54">
        <f t="shared" si="180"/>
        <v>1527283.9817397052</v>
      </c>
      <c r="DU13" s="132">
        <f t="shared" si="181"/>
        <v>0</v>
      </c>
      <c r="DV13" s="77" t="s">
        <v>8</v>
      </c>
      <c r="DW13" s="29" t="s">
        <v>8</v>
      </c>
      <c r="DX13" s="34">
        <f t="shared" si="182"/>
        <v>0.54644726585474879</v>
      </c>
      <c r="DY13" s="32">
        <f t="shared" si="183"/>
        <v>6.8297274217649973E-2</v>
      </c>
      <c r="DZ13" s="33">
        <f t="shared" si="184"/>
        <v>1527283.9817397052</v>
      </c>
      <c r="EA13" s="81">
        <f t="shared" si="185"/>
        <v>0</v>
      </c>
      <c r="EB13" s="77" t="s">
        <v>8</v>
      </c>
      <c r="EC13" s="29" t="s">
        <v>8</v>
      </c>
      <c r="ED13" s="34">
        <f t="shared" si="186"/>
        <v>0.54644726585474879</v>
      </c>
      <c r="EE13" s="32">
        <f t="shared" si="187"/>
        <v>6.8297274217649973E-2</v>
      </c>
      <c r="EF13" s="33">
        <f t="shared" si="188"/>
        <v>1527283.9817397052</v>
      </c>
      <c r="EG13" s="81">
        <f t="shared" si="189"/>
        <v>0</v>
      </c>
      <c r="EH13" s="77" t="s">
        <v>8</v>
      </c>
      <c r="EI13" s="29" t="s">
        <v>8</v>
      </c>
      <c r="EJ13" s="34">
        <f t="shared" si="190"/>
        <v>0.54644726585474879</v>
      </c>
      <c r="EK13" s="32">
        <f t="shared" si="191"/>
        <v>6.8297274217649973E-2</v>
      </c>
      <c r="EL13" s="33">
        <f t="shared" si="192"/>
        <v>1527283.9817397052</v>
      </c>
      <c r="EM13" s="81">
        <f t="shared" si="193"/>
        <v>0</v>
      </c>
      <c r="EN13" s="77" t="s">
        <v>8</v>
      </c>
      <c r="EO13" s="29" t="s">
        <v>8</v>
      </c>
      <c r="EP13" s="34">
        <f t="shared" si="194"/>
        <v>0.54644726585474879</v>
      </c>
      <c r="EQ13" s="32">
        <f t="shared" si="195"/>
        <v>6.8297274217649973E-2</v>
      </c>
      <c r="ER13" s="33">
        <f t="shared" si="196"/>
        <v>1527283.9817397052</v>
      </c>
      <c r="ES13" s="81">
        <f t="shared" si="197"/>
        <v>0</v>
      </c>
      <c r="ET13" s="77" t="s">
        <v>8</v>
      </c>
      <c r="EU13" s="29" t="s">
        <v>8</v>
      </c>
      <c r="EV13" s="34">
        <f t="shared" si="198"/>
        <v>0.54644726585474879</v>
      </c>
      <c r="EW13" s="32">
        <f t="shared" si="199"/>
        <v>6.8297274217649973E-2</v>
      </c>
      <c r="EX13" s="33">
        <f t="shared" si="200"/>
        <v>1527283.9817397052</v>
      </c>
      <c r="EY13" s="81">
        <f t="shared" si="201"/>
        <v>0</v>
      </c>
      <c r="EZ13" s="77" t="s">
        <v>8</v>
      </c>
      <c r="FA13" s="29" t="s">
        <v>8</v>
      </c>
      <c r="FB13" s="34">
        <f t="shared" si="202"/>
        <v>0.54644726585474879</v>
      </c>
      <c r="FC13" s="32">
        <f t="shared" si="203"/>
        <v>6.8297274217649973E-2</v>
      </c>
      <c r="FD13" s="33">
        <f t="shared" si="204"/>
        <v>1527283.9817397052</v>
      </c>
      <c r="FE13" s="81">
        <f t="shared" si="205"/>
        <v>0</v>
      </c>
      <c r="FF13" s="77" t="s">
        <v>8</v>
      </c>
      <c r="FG13" s="29" t="s">
        <v>8</v>
      </c>
      <c r="FH13" s="34">
        <f t="shared" si="206"/>
        <v>0.54644726585474879</v>
      </c>
      <c r="FI13" s="32">
        <f t="shared" si="207"/>
        <v>6.8297274217649973E-2</v>
      </c>
      <c r="FJ13" s="33">
        <f t="shared" si="208"/>
        <v>1527283.9817397052</v>
      </c>
      <c r="FK13" s="81">
        <f t="shared" si="209"/>
        <v>0</v>
      </c>
      <c r="FL13" s="77" t="s">
        <v>8</v>
      </c>
      <c r="FM13" s="29" t="s">
        <v>8</v>
      </c>
      <c r="FN13" s="34">
        <f t="shared" si="210"/>
        <v>0.54644726585474879</v>
      </c>
      <c r="FO13" s="32">
        <f t="shared" si="211"/>
        <v>6.8297274217649973E-2</v>
      </c>
      <c r="FP13" s="33">
        <f t="shared" si="212"/>
        <v>1527283.9817397052</v>
      </c>
      <c r="FQ13" s="81">
        <f t="shared" si="213"/>
        <v>0</v>
      </c>
      <c r="FR13" s="77" t="s">
        <v>8</v>
      </c>
      <c r="FS13" s="29" t="s">
        <v>8</v>
      </c>
      <c r="FT13" s="34">
        <f t="shared" si="214"/>
        <v>0.54644726585474879</v>
      </c>
      <c r="FU13" s="32">
        <f t="shared" si="215"/>
        <v>6.8297274217649973E-2</v>
      </c>
      <c r="FV13" s="33">
        <f t="shared" si="216"/>
        <v>1527283.9817397052</v>
      </c>
      <c r="FW13" s="81">
        <f t="shared" si="217"/>
        <v>0</v>
      </c>
      <c r="FX13" s="77" t="s">
        <v>8</v>
      </c>
      <c r="FY13" s="29" t="s">
        <v>8</v>
      </c>
      <c r="FZ13" s="34">
        <f t="shared" si="218"/>
        <v>0.54644726585474879</v>
      </c>
      <c r="GA13" s="32">
        <f t="shared" si="219"/>
        <v>6.8297274217649973E-2</v>
      </c>
      <c r="GB13" s="33">
        <f t="shared" si="220"/>
        <v>1527283.9817397052</v>
      </c>
      <c r="GC13" s="81">
        <f t="shared" si="221"/>
        <v>0</v>
      </c>
      <c r="GD13" s="77" t="s">
        <v>8</v>
      </c>
      <c r="GE13" s="29" t="s">
        <v>8</v>
      </c>
      <c r="GF13" s="34">
        <f t="shared" si="222"/>
        <v>0.54644726585474879</v>
      </c>
      <c r="GG13" s="32">
        <f t="shared" si="223"/>
        <v>6.8297274217649973E-2</v>
      </c>
      <c r="GH13" s="33">
        <f t="shared" si="224"/>
        <v>1527283.9817397052</v>
      </c>
      <c r="GI13" s="132">
        <f t="shared" si="225"/>
        <v>0</v>
      </c>
      <c r="GJ13" s="182">
        <f t="shared" si="228"/>
        <v>3917309.8284911048</v>
      </c>
      <c r="GK13" s="186">
        <f t="shared" si="226"/>
        <v>4129440.7997402055</v>
      </c>
      <c r="GL13" s="179">
        <f t="shared" si="227"/>
        <v>0.54644726585474879</v>
      </c>
      <c r="GN13" s="184">
        <v>4129440.8</v>
      </c>
    </row>
    <row r="14" spans="1:196" s="24" customFormat="1" ht="31.2" customHeight="1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1290</v>
      </c>
      <c r="H14" s="30">
        <f>'Исходные данные'!D16</f>
        <v>1281604</v>
      </c>
      <c r="I14" s="31">
        <f>'Расчет КРП'!G12</f>
        <v>4.7145060158163297</v>
      </c>
      <c r="J14" s="117" t="s">
        <v>8</v>
      </c>
      <c r="K14" s="121">
        <f t="shared" si="104"/>
        <v>0.14792667285648312</v>
      </c>
      <c r="L14" s="78">
        <f t="shared" si="105"/>
        <v>218046.97443134649</v>
      </c>
      <c r="M14" s="74">
        <f t="shared" si="106"/>
        <v>0.17309432484106782</v>
      </c>
      <c r="N14" s="29" t="s">
        <v>8</v>
      </c>
      <c r="O14" s="32">
        <f t="shared" si="107"/>
        <v>0.1710842445329743</v>
      </c>
      <c r="P14" s="33">
        <f t="shared" si="108"/>
        <v>1658107.9100370263</v>
      </c>
      <c r="Q14" s="81">
        <f t="shared" si="109"/>
        <v>1658107.9100370263</v>
      </c>
      <c r="R14" s="152" t="s">
        <v>8</v>
      </c>
      <c r="S14" s="29" t="s">
        <v>8</v>
      </c>
      <c r="T14" s="34">
        <f t="shared" si="110"/>
        <v>0.36447823622773179</v>
      </c>
      <c r="U14" s="32">
        <f t="shared" si="111"/>
        <v>8.9299668559710166E-2</v>
      </c>
      <c r="V14" s="54">
        <f t="shared" si="112"/>
        <v>1188145.9138728913</v>
      </c>
      <c r="W14" s="81">
        <f t="shared" si="113"/>
        <v>1188145.9138728913</v>
      </c>
      <c r="X14" s="77" t="s">
        <v>8</v>
      </c>
      <c r="Y14" s="29" t="s">
        <v>8</v>
      </c>
      <c r="Z14" s="34">
        <f t="shared" si="114"/>
        <v>0.50161768952784824</v>
      </c>
      <c r="AA14" s="32">
        <f t="shared" si="115"/>
        <v>7.6727131848965624E-2</v>
      </c>
      <c r="AB14" s="54">
        <f t="shared" si="116"/>
        <v>1356656.9785327332</v>
      </c>
      <c r="AC14" s="81">
        <f t="shared" si="117"/>
        <v>390590.30499841471</v>
      </c>
      <c r="AD14" s="77" t="s">
        <v>8</v>
      </c>
      <c r="AE14" s="29" t="s">
        <v>8</v>
      </c>
      <c r="AF14" s="34">
        <f t="shared" si="118"/>
        <v>0.54670082306083834</v>
      </c>
      <c r="AG14" s="32">
        <f t="shared" si="119"/>
        <v>6.8043717011560423E-2</v>
      </c>
      <c r="AH14" s="54">
        <f t="shared" si="120"/>
        <v>1288994.0948951473</v>
      </c>
      <c r="AI14" s="81">
        <f t="shared" si="121"/>
        <v>0</v>
      </c>
      <c r="AJ14" s="77" t="s">
        <v>8</v>
      </c>
      <c r="AK14" s="29" t="s">
        <v>8</v>
      </c>
      <c r="AL14" s="34">
        <f t="shared" si="122"/>
        <v>0.54670082306083834</v>
      </c>
      <c r="AM14" s="32">
        <f t="shared" si="123"/>
        <v>6.8043717011560423E-2</v>
      </c>
      <c r="AN14" s="54">
        <f t="shared" si="124"/>
        <v>1288994.0948951473</v>
      </c>
      <c r="AO14" s="81">
        <f t="shared" si="125"/>
        <v>0</v>
      </c>
      <c r="AP14" s="77" t="s">
        <v>8</v>
      </c>
      <c r="AQ14" s="29" t="s">
        <v>8</v>
      </c>
      <c r="AR14" s="34">
        <f t="shared" si="126"/>
        <v>0.54670082306083834</v>
      </c>
      <c r="AS14" s="32">
        <f t="shared" si="127"/>
        <v>6.8043717011560423E-2</v>
      </c>
      <c r="AT14" s="54">
        <f t="shared" si="128"/>
        <v>1288994.0948951473</v>
      </c>
      <c r="AU14" s="81">
        <f t="shared" si="129"/>
        <v>0</v>
      </c>
      <c r="AV14" s="77" t="s">
        <v>8</v>
      </c>
      <c r="AW14" s="29" t="s">
        <v>8</v>
      </c>
      <c r="AX14" s="34">
        <f t="shared" si="130"/>
        <v>0.54670082306083834</v>
      </c>
      <c r="AY14" s="32">
        <f t="shared" si="131"/>
        <v>6.8043717011560423E-2</v>
      </c>
      <c r="AZ14" s="54">
        <f t="shared" si="132"/>
        <v>1288994.0948951473</v>
      </c>
      <c r="BA14" s="81">
        <f t="shared" si="133"/>
        <v>0</v>
      </c>
      <c r="BB14" s="77" t="s">
        <v>8</v>
      </c>
      <c r="BC14" s="29" t="s">
        <v>8</v>
      </c>
      <c r="BD14" s="34">
        <f t="shared" si="134"/>
        <v>0.54670082306083834</v>
      </c>
      <c r="BE14" s="32">
        <f t="shared" si="135"/>
        <v>6.8043717011560423E-2</v>
      </c>
      <c r="BF14" s="54">
        <f t="shared" si="136"/>
        <v>1288994.0948951473</v>
      </c>
      <c r="BG14" s="81">
        <f t="shared" si="137"/>
        <v>0</v>
      </c>
      <c r="BH14" s="77" t="s">
        <v>8</v>
      </c>
      <c r="BI14" s="29" t="s">
        <v>8</v>
      </c>
      <c r="BJ14" s="34">
        <f t="shared" si="138"/>
        <v>0.54670082306083834</v>
      </c>
      <c r="BK14" s="32">
        <f t="shared" si="139"/>
        <v>6.8043717011560423E-2</v>
      </c>
      <c r="BL14" s="54">
        <f t="shared" si="140"/>
        <v>1288994.0948951473</v>
      </c>
      <c r="BM14" s="81">
        <f t="shared" si="141"/>
        <v>0</v>
      </c>
      <c r="BN14" s="77" t="s">
        <v>8</v>
      </c>
      <c r="BO14" s="29" t="s">
        <v>8</v>
      </c>
      <c r="BP14" s="34">
        <f t="shared" si="142"/>
        <v>0.54670082306083834</v>
      </c>
      <c r="BQ14" s="32">
        <f t="shared" si="143"/>
        <v>6.8043717011560423E-2</v>
      </c>
      <c r="BR14" s="54">
        <f t="shared" si="144"/>
        <v>1288994.0948951473</v>
      </c>
      <c r="BS14" s="132">
        <f t="shared" si="145"/>
        <v>0</v>
      </c>
      <c r="BT14" s="77" t="s">
        <v>8</v>
      </c>
      <c r="BU14" s="29" t="s">
        <v>8</v>
      </c>
      <c r="BV14" s="34">
        <f t="shared" si="146"/>
        <v>0.54670082306083834</v>
      </c>
      <c r="BW14" s="32">
        <f t="shared" si="147"/>
        <v>6.8043717011560423E-2</v>
      </c>
      <c r="BX14" s="54">
        <f t="shared" si="148"/>
        <v>1288994.0948951473</v>
      </c>
      <c r="BY14" s="132">
        <f t="shared" si="149"/>
        <v>0</v>
      </c>
      <c r="BZ14" s="77" t="s">
        <v>8</v>
      </c>
      <c r="CA14" s="29" t="s">
        <v>8</v>
      </c>
      <c r="CB14" s="34">
        <f t="shared" si="150"/>
        <v>0.54670082306083834</v>
      </c>
      <c r="CC14" s="32">
        <f t="shared" si="151"/>
        <v>6.8043717011560423E-2</v>
      </c>
      <c r="CD14" s="54">
        <f t="shared" si="152"/>
        <v>1288994.0948951473</v>
      </c>
      <c r="CE14" s="132">
        <f t="shared" si="153"/>
        <v>0</v>
      </c>
      <c r="CF14" s="77" t="s">
        <v>8</v>
      </c>
      <c r="CG14" s="29" t="s">
        <v>8</v>
      </c>
      <c r="CH14" s="34">
        <f t="shared" si="154"/>
        <v>0.54670082306083834</v>
      </c>
      <c r="CI14" s="32">
        <f t="shared" si="155"/>
        <v>6.8043717011560423E-2</v>
      </c>
      <c r="CJ14" s="54">
        <f t="shared" si="156"/>
        <v>1288994.0948951473</v>
      </c>
      <c r="CK14" s="132">
        <f t="shared" si="157"/>
        <v>0</v>
      </c>
      <c r="CL14" s="77" t="s">
        <v>8</v>
      </c>
      <c r="CM14" s="29" t="s">
        <v>8</v>
      </c>
      <c r="CN14" s="34">
        <f t="shared" si="158"/>
        <v>0.54670082306083834</v>
      </c>
      <c r="CO14" s="32">
        <f t="shared" si="159"/>
        <v>6.8043717011560423E-2</v>
      </c>
      <c r="CP14" s="54">
        <f t="shared" si="160"/>
        <v>1288994.0948951473</v>
      </c>
      <c r="CQ14" s="132">
        <f t="shared" si="161"/>
        <v>0</v>
      </c>
      <c r="CR14" s="77" t="s">
        <v>8</v>
      </c>
      <c r="CS14" s="29" t="s">
        <v>8</v>
      </c>
      <c r="CT14" s="34">
        <f t="shared" si="162"/>
        <v>0.54670082306083834</v>
      </c>
      <c r="CU14" s="32">
        <f t="shared" si="163"/>
        <v>6.8043717011560423E-2</v>
      </c>
      <c r="CV14" s="54">
        <f t="shared" si="164"/>
        <v>1288994.0948951473</v>
      </c>
      <c r="CW14" s="132">
        <f t="shared" si="165"/>
        <v>0</v>
      </c>
      <c r="CX14" s="77" t="s">
        <v>8</v>
      </c>
      <c r="CY14" s="29" t="s">
        <v>8</v>
      </c>
      <c r="CZ14" s="34">
        <f t="shared" si="166"/>
        <v>0.54670082306083834</v>
      </c>
      <c r="DA14" s="32">
        <f t="shared" si="167"/>
        <v>6.8043717011560423E-2</v>
      </c>
      <c r="DB14" s="54">
        <f t="shared" si="168"/>
        <v>1288994.0948951473</v>
      </c>
      <c r="DC14" s="132">
        <f t="shared" si="169"/>
        <v>0</v>
      </c>
      <c r="DD14" s="77" t="s">
        <v>8</v>
      </c>
      <c r="DE14" s="29" t="s">
        <v>8</v>
      </c>
      <c r="DF14" s="34">
        <f t="shared" si="170"/>
        <v>0.54670082306083834</v>
      </c>
      <c r="DG14" s="32">
        <f t="shared" si="171"/>
        <v>6.8043717011560423E-2</v>
      </c>
      <c r="DH14" s="54">
        <f t="shared" si="172"/>
        <v>1288994.0948951473</v>
      </c>
      <c r="DI14" s="132">
        <f t="shared" si="173"/>
        <v>0</v>
      </c>
      <c r="DJ14" s="77" t="s">
        <v>8</v>
      </c>
      <c r="DK14" s="29" t="s">
        <v>8</v>
      </c>
      <c r="DL14" s="34">
        <f t="shared" si="174"/>
        <v>0.54670082306083834</v>
      </c>
      <c r="DM14" s="32">
        <f t="shared" si="175"/>
        <v>6.8043717011560423E-2</v>
      </c>
      <c r="DN14" s="54">
        <f t="shared" si="176"/>
        <v>1288994.0948951473</v>
      </c>
      <c r="DO14" s="132">
        <f t="shared" si="177"/>
        <v>0</v>
      </c>
      <c r="DP14" s="77" t="s">
        <v>8</v>
      </c>
      <c r="DQ14" s="29" t="s">
        <v>8</v>
      </c>
      <c r="DR14" s="34">
        <f t="shared" si="178"/>
        <v>0.54670082306083834</v>
      </c>
      <c r="DS14" s="32">
        <f t="shared" si="179"/>
        <v>6.8043717011560423E-2</v>
      </c>
      <c r="DT14" s="54">
        <f t="shared" si="180"/>
        <v>1288994.0948951473</v>
      </c>
      <c r="DU14" s="132">
        <f t="shared" si="181"/>
        <v>0</v>
      </c>
      <c r="DV14" s="77" t="s">
        <v>8</v>
      </c>
      <c r="DW14" s="29" t="s">
        <v>8</v>
      </c>
      <c r="DX14" s="34">
        <f t="shared" si="182"/>
        <v>0.54670082306083834</v>
      </c>
      <c r="DY14" s="32">
        <f t="shared" si="183"/>
        <v>6.8043717011560423E-2</v>
      </c>
      <c r="DZ14" s="33">
        <f t="shared" si="184"/>
        <v>1288994.0948951473</v>
      </c>
      <c r="EA14" s="81">
        <f t="shared" si="185"/>
        <v>0</v>
      </c>
      <c r="EB14" s="77" t="s">
        <v>8</v>
      </c>
      <c r="EC14" s="29" t="s">
        <v>8</v>
      </c>
      <c r="ED14" s="34">
        <f t="shared" si="186"/>
        <v>0.54670082306083834</v>
      </c>
      <c r="EE14" s="32">
        <f t="shared" si="187"/>
        <v>6.8043717011560423E-2</v>
      </c>
      <c r="EF14" s="33">
        <f t="shared" si="188"/>
        <v>1288994.0948951473</v>
      </c>
      <c r="EG14" s="81">
        <f t="shared" si="189"/>
        <v>0</v>
      </c>
      <c r="EH14" s="77" t="s">
        <v>8</v>
      </c>
      <c r="EI14" s="29" t="s">
        <v>8</v>
      </c>
      <c r="EJ14" s="34">
        <f t="shared" si="190"/>
        <v>0.54670082306083834</v>
      </c>
      <c r="EK14" s="32">
        <f t="shared" si="191"/>
        <v>6.8043717011560423E-2</v>
      </c>
      <c r="EL14" s="33">
        <f t="shared" si="192"/>
        <v>1288994.0948951473</v>
      </c>
      <c r="EM14" s="81">
        <f t="shared" si="193"/>
        <v>0</v>
      </c>
      <c r="EN14" s="77" t="s">
        <v>8</v>
      </c>
      <c r="EO14" s="29" t="s">
        <v>8</v>
      </c>
      <c r="EP14" s="34">
        <f t="shared" si="194"/>
        <v>0.54670082306083834</v>
      </c>
      <c r="EQ14" s="32">
        <f t="shared" si="195"/>
        <v>6.8043717011560423E-2</v>
      </c>
      <c r="ER14" s="33">
        <f t="shared" si="196"/>
        <v>1288994.0948951473</v>
      </c>
      <c r="ES14" s="81">
        <f t="shared" si="197"/>
        <v>0</v>
      </c>
      <c r="ET14" s="77" t="s">
        <v>8</v>
      </c>
      <c r="EU14" s="29" t="s">
        <v>8</v>
      </c>
      <c r="EV14" s="34">
        <f t="shared" si="198"/>
        <v>0.54670082306083834</v>
      </c>
      <c r="EW14" s="32">
        <f t="shared" si="199"/>
        <v>6.8043717011560423E-2</v>
      </c>
      <c r="EX14" s="33">
        <f t="shared" si="200"/>
        <v>1288994.0948951473</v>
      </c>
      <c r="EY14" s="81">
        <f t="shared" si="201"/>
        <v>0</v>
      </c>
      <c r="EZ14" s="77" t="s">
        <v>8</v>
      </c>
      <c r="FA14" s="29" t="s">
        <v>8</v>
      </c>
      <c r="FB14" s="34">
        <f t="shared" si="202"/>
        <v>0.54670082306083834</v>
      </c>
      <c r="FC14" s="32">
        <f t="shared" si="203"/>
        <v>6.8043717011560423E-2</v>
      </c>
      <c r="FD14" s="33">
        <f t="shared" si="204"/>
        <v>1288994.0948951473</v>
      </c>
      <c r="FE14" s="81">
        <f t="shared" si="205"/>
        <v>0</v>
      </c>
      <c r="FF14" s="77" t="s">
        <v>8</v>
      </c>
      <c r="FG14" s="29" t="s">
        <v>8</v>
      </c>
      <c r="FH14" s="34">
        <f t="shared" si="206"/>
        <v>0.54670082306083834</v>
      </c>
      <c r="FI14" s="32">
        <f t="shared" si="207"/>
        <v>6.8043717011560423E-2</v>
      </c>
      <c r="FJ14" s="33">
        <f t="shared" si="208"/>
        <v>1288994.0948951473</v>
      </c>
      <c r="FK14" s="81">
        <f t="shared" si="209"/>
        <v>0</v>
      </c>
      <c r="FL14" s="77" t="s">
        <v>8</v>
      </c>
      <c r="FM14" s="29" t="s">
        <v>8</v>
      </c>
      <c r="FN14" s="34">
        <f t="shared" si="210"/>
        <v>0.54670082306083834</v>
      </c>
      <c r="FO14" s="32">
        <f t="shared" si="211"/>
        <v>6.8043717011560423E-2</v>
      </c>
      <c r="FP14" s="33">
        <f t="shared" si="212"/>
        <v>1288994.0948951473</v>
      </c>
      <c r="FQ14" s="81">
        <f t="shared" si="213"/>
        <v>0</v>
      </c>
      <c r="FR14" s="77" t="s">
        <v>8</v>
      </c>
      <c r="FS14" s="29" t="s">
        <v>8</v>
      </c>
      <c r="FT14" s="34">
        <f t="shared" si="214"/>
        <v>0.54670082306083834</v>
      </c>
      <c r="FU14" s="32">
        <f t="shared" si="215"/>
        <v>6.8043717011560423E-2</v>
      </c>
      <c r="FV14" s="33">
        <f t="shared" si="216"/>
        <v>1288994.0948951473</v>
      </c>
      <c r="FW14" s="81">
        <f t="shared" si="217"/>
        <v>0</v>
      </c>
      <c r="FX14" s="77" t="s">
        <v>8</v>
      </c>
      <c r="FY14" s="29" t="s">
        <v>8</v>
      </c>
      <c r="FZ14" s="34">
        <f t="shared" si="218"/>
        <v>0.54670082306083834</v>
      </c>
      <c r="GA14" s="32">
        <f t="shared" si="219"/>
        <v>6.8043717011560423E-2</v>
      </c>
      <c r="GB14" s="33">
        <f t="shared" si="220"/>
        <v>1288994.0948951473</v>
      </c>
      <c r="GC14" s="81">
        <f t="shared" si="221"/>
        <v>0</v>
      </c>
      <c r="GD14" s="77" t="s">
        <v>8</v>
      </c>
      <c r="GE14" s="29" t="s">
        <v>8</v>
      </c>
      <c r="GF14" s="34">
        <f t="shared" si="222"/>
        <v>0.54670082306083834</v>
      </c>
      <c r="GG14" s="32">
        <f t="shared" si="223"/>
        <v>6.8043717011560423E-2</v>
      </c>
      <c r="GH14" s="33">
        <f t="shared" si="224"/>
        <v>1288994.0948951473</v>
      </c>
      <c r="GI14" s="132">
        <f t="shared" si="225"/>
        <v>0</v>
      </c>
      <c r="GJ14" s="182">
        <f t="shared" si="228"/>
        <v>3236844.1289083324</v>
      </c>
      <c r="GK14" s="186">
        <f t="shared" si="226"/>
        <v>3454891.1033396791</v>
      </c>
      <c r="GL14" s="179">
        <f t="shared" si="227"/>
        <v>0.54670082306083856</v>
      </c>
      <c r="GN14" s="184">
        <v>3454891.1</v>
      </c>
    </row>
    <row r="15" spans="1:196" s="24" customFormat="1" ht="31.2" customHeight="1" thickBot="1" x14ac:dyDescent="0.35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1265</v>
      </c>
      <c r="H15" s="30">
        <f>'Исходные данные'!D17</f>
        <v>2508725</v>
      </c>
      <c r="I15" s="31">
        <f>'Расчет КРП'!G13</f>
        <v>5.9854513678706196</v>
      </c>
      <c r="J15" s="117" t="s">
        <v>8</v>
      </c>
      <c r="K15" s="121">
        <f t="shared" si="104"/>
        <v>0.23258631892049403</v>
      </c>
      <c r="L15" s="78">
        <f t="shared" si="105"/>
        <v>213821.25787259947</v>
      </c>
      <c r="M15" s="74">
        <f t="shared" si="106"/>
        <v>0.25240989435245154</v>
      </c>
      <c r="N15" s="29" t="s">
        <v>8</v>
      </c>
      <c r="O15" s="32">
        <f t="shared" si="107"/>
        <v>9.1768675021590584E-2</v>
      </c>
      <c r="P15" s="33">
        <f t="shared" si="108"/>
        <v>1107283.3344829227</v>
      </c>
      <c r="Q15" s="81">
        <f t="shared" si="109"/>
        <v>1107283.3344829227</v>
      </c>
      <c r="R15" s="152" t="s">
        <v>8</v>
      </c>
      <c r="S15" s="29" t="s">
        <v>8</v>
      </c>
      <c r="T15" s="34">
        <f t="shared" si="110"/>
        <v>0.35506720225562666</v>
      </c>
      <c r="U15" s="32">
        <f t="shared" si="111"/>
        <v>9.8710702531815298E-2</v>
      </c>
      <c r="V15" s="54">
        <f t="shared" si="112"/>
        <v>1635105.2089553934</v>
      </c>
      <c r="W15" s="81">
        <f t="shared" si="113"/>
        <v>1635105.2089553934</v>
      </c>
      <c r="X15" s="77" t="s">
        <v>8</v>
      </c>
      <c r="Y15" s="29" t="s">
        <v>8</v>
      </c>
      <c r="Z15" s="34">
        <f t="shared" si="114"/>
        <v>0.50665938617321837</v>
      </c>
      <c r="AA15" s="32">
        <f t="shared" si="115"/>
        <v>7.1685435203595493E-2</v>
      </c>
      <c r="AB15" s="54">
        <f t="shared" si="116"/>
        <v>1578023.7771395105</v>
      </c>
      <c r="AC15" s="81">
        <f t="shared" si="117"/>
        <v>454323.23583687685</v>
      </c>
      <c r="AD15" s="77" t="s">
        <v>8</v>
      </c>
      <c r="AE15" s="29" t="s">
        <v>8</v>
      </c>
      <c r="AF15" s="34">
        <f t="shared" si="118"/>
        <v>0.54878013237830126</v>
      </c>
      <c r="AG15" s="32">
        <f t="shared" si="119"/>
        <v>6.5964407694097504E-2</v>
      </c>
      <c r="AH15" s="54">
        <f t="shared" si="120"/>
        <v>1555729.5206138871</v>
      </c>
      <c r="AI15" s="81">
        <f t="shared" si="121"/>
        <v>0</v>
      </c>
      <c r="AJ15" s="77" t="s">
        <v>8</v>
      </c>
      <c r="AK15" s="29" t="s">
        <v>8</v>
      </c>
      <c r="AL15" s="34">
        <f t="shared" si="122"/>
        <v>0.54878013237830126</v>
      </c>
      <c r="AM15" s="32">
        <f t="shared" si="123"/>
        <v>6.5964407694097504E-2</v>
      </c>
      <c r="AN15" s="54">
        <f t="shared" si="124"/>
        <v>1555729.5206138871</v>
      </c>
      <c r="AO15" s="81">
        <f t="shared" si="125"/>
        <v>0</v>
      </c>
      <c r="AP15" s="77" t="s">
        <v>8</v>
      </c>
      <c r="AQ15" s="29" t="s">
        <v>8</v>
      </c>
      <c r="AR15" s="34">
        <f t="shared" si="126"/>
        <v>0.54878013237830126</v>
      </c>
      <c r="AS15" s="32">
        <f t="shared" si="127"/>
        <v>6.5964407694097504E-2</v>
      </c>
      <c r="AT15" s="54">
        <f t="shared" si="128"/>
        <v>1555729.5206138871</v>
      </c>
      <c r="AU15" s="81">
        <f t="shared" si="129"/>
        <v>0</v>
      </c>
      <c r="AV15" s="77" t="s">
        <v>8</v>
      </c>
      <c r="AW15" s="29" t="s">
        <v>8</v>
      </c>
      <c r="AX15" s="34">
        <f t="shared" si="130"/>
        <v>0.54878013237830126</v>
      </c>
      <c r="AY15" s="32">
        <f t="shared" si="131"/>
        <v>6.5964407694097504E-2</v>
      </c>
      <c r="AZ15" s="54">
        <f t="shared" si="132"/>
        <v>1555729.5206138871</v>
      </c>
      <c r="BA15" s="81">
        <f t="shared" si="133"/>
        <v>0</v>
      </c>
      <c r="BB15" s="77" t="s">
        <v>8</v>
      </c>
      <c r="BC15" s="29" t="s">
        <v>8</v>
      </c>
      <c r="BD15" s="34">
        <f t="shared" si="134"/>
        <v>0.54878013237830126</v>
      </c>
      <c r="BE15" s="32">
        <f t="shared" si="135"/>
        <v>6.5964407694097504E-2</v>
      </c>
      <c r="BF15" s="54">
        <f t="shared" si="136"/>
        <v>1555729.5206138871</v>
      </c>
      <c r="BG15" s="81">
        <f t="shared" si="137"/>
        <v>0</v>
      </c>
      <c r="BH15" s="77" t="s">
        <v>8</v>
      </c>
      <c r="BI15" s="29" t="s">
        <v>8</v>
      </c>
      <c r="BJ15" s="34">
        <f t="shared" si="138"/>
        <v>0.54878013237830126</v>
      </c>
      <c r="BK15" s="32">
        <f t="shared" si="139"/>
        <v>6.5964407694097504E-2</v>
      </c>
      <c r="BL15" s="54">
        <f t="shared" si="140"/>
        <v>1555729.5206138871</v>
      </c>
      <c r="BM15" s="81">
        <f t="shared" si="141"/>
        <v>0</v>
      </c>
      <c r="BN15" s="77" t="s">
        <v>8</v>
      </c>
      <c r="BO15" s="29" t="s">
        <v>8</v>
      </c>
      <c r="BP15" s="34">
        <f t="shared" si="142"/>
        <v>0.54878013237830126</v>
      </c>
      <c r="BQ15" s="32">
        <f t="shared" si="143"/>
        <v>6.5964407694097504E-2</v>
      </c>
      <c r="BR15" s="54">
        <f t="shared" si="144"/>
        <v>1555729.5206138871</v>
      </c>
      <c r="BS15" s="132">
        <f t="shared" si="145"/>
        <v>0</v>
      </c>
      <c r="BT15" s="77" t="s">
        <v>8</v>
      </c>
      <c r="BU15" s="29" t="s">
        <v>8</v>
      </c>
      <c r="BV15" s="34">
        <f t="shared" si="146"/>
        <v>0.54878013237830126</v>
      </c>
      <c r="BW15" s="32">
        <f t="shared" si="147"/>
        <v>6.5964407694097504E-2</v>
      </c>
      <c r="BX15" s="54">
        <f t="shared" si="148"/>
        <v>1555729.5206138871</v>
      </c>
      <c r="BY15" s="132">
        <f t="shared" si="149"/>
        <v>0</v>
      </c>
      <c r="BZ15" s="77" t="s">
        <v>8</v>
      </c>
      <c r="CA15" s="29" t="s">
        <v>8</v>
      </c>
      <c r="CB15" s="34">
        <f t="shared" si="150"/>
        <v>0.54878013237830126</v>
      </c>
      <c r="CC15" s="32">
        <f t="shared" si="151"/>
        <v>6.5964407694097504E-2</v>
      </c>
      <c r="CD15" s="54">
        <f t="shared" si="152"/>
        <v>1555729.5206138871</v>
      </c>
      <c r="CE15" s="132">
        <f t="shared" si="153"/>
        <v>0</v>
      </c>
      <c r="CF15" s="77" t="s">
        <v>8</v>
      </c>
      <c r="CG15" s="29" t="s">
        <v>8</v>
      </c>
      <c r="CH15" s="34">
        <f t="shared" si="154"/>
        <v>0.54878013237830126</v>
      </c>
      <c r="CI15" s="32">
        <f t="shared" si="155"/>
        <v>6.5964407694097504E-2</v>
      </c>
      <c r="CJ15" s="54">
        <f t="shared" si="156"/>
        <v>1555729.5206138871</v>
      </c>
      <c r="CK15" s="132">
        <f t="shared" si="157"/>
        <v>0</v>
      </c>
      <c r="CL15" s="77" t="s">
        <v>8</v>
      </c>
      <c r="CM15" s="29" t="s">
        <v>8</v>
      </c>
      <c r="CN15" s="34">
        <f t="shared" si="158"/>
        <v>0.54878013237830126</v>
      </c>
      <c r="CO15" s="32">
        <f t="shared" si="159"/>
        <v>6.5964407694097504E-2</v>
      </c>
      <c r="CP15" s="54">
        <f t="shared" si="160"/>
        <v>1555729.5206138871</v>
      </c>
      <c r="CQ15" s="132">
        <f t="shared" si="161"/>
        <v>0</v>
      </c>
      <c r="CR15" s="77" t="s">
        <v>8</v>
      </c>
      <c r="CS15" s="29" t="s">
        <v>8</v>
      </c>
      <c r="CT15" s="34">
        <f t="shared" si="162"/>
        <v>0.54878013237830126</v>
      </c>
      <c r="CU15" s="32">
        <f t="shared" si="163"/>
        <v>6.5964407694097504E-2</v>
      </c>
      <c r="CV15" s="54">
        <f t="shared" si="164"/>
        <v>1555729.5206138871</v>
      </c>
      <c r="CW15" s="132">
        <f t="shared" si="165"/>
        <v>0</v>
      </c>
      <c r="CX15" s="77" t="s">
        <v>8</v>
      </c>
      <c r="CY15" s="29" t="s">
        <v>8</v>
      </c>
      <c r="CZ15" s="34">
        <f t="shared" si="166"/>
        <v>0.54878013237830126</v>
      </c>
      <c r="DA15" s="32">
        <f t="shared" si="167"/>
        <v>6.5964407694097504E-2</v>
      </c>
      <c r="DB15" s="54">
        <f t="shared" si="168"/>
        <v>1555729.5206138871</v>
      </c>
      <c r="DC15" s="132">
        <f t="shared" si="169"/>
        <v>0</v>
      </c>
      <c r="DD15" s="77" t="s">
        <v>8</v>
      </c>
      <c r="DE15" s="29" t="s">
        <v>8</v>
      </c>
      <c r="DF15" s="34">
        <f t="shared" si="170"/>
        <v>0.54878013237830126</v>
      </c>
      <c r="DG15" s="32">
        <f t="shared" si="171"/>
        <v>6.5964407694097504E-2</v>
      </c>
      <c r="DH15" s="54">
        <f t="shared" si="172"/>
        <v>1555729.5206138871</v>
      </c>
      <c r="DI15" s="132">
        <f t="shared" si="173"/>
        <v>0</v>
      </c>
      <c r="DJ15" s="77" t="s">
        <v>8</v>
      </c>
      <c r="DK15" s="29" t="s">
        <v>8</v>
      </c>
      <c r="DL15" s="34">
        <f t="shared" si="174"/>
        <v>0.54878013237830126</v>
      </c>
      <c r="DM15" s="32">
        <f t="shared" si="175"/>
        <v>6.5964407694097504E-2</v>
      </c>
      <c r="DN15" s="54">
        <f t="shared" si="176"/>
        <v>1555729.5206138871</v>
      </c>
      <c r="DO15" s="132">
        <f t="shared" si="177"/>
        <v>0</v>
      </c>
      <c r="DP15" s="77" t="s">
        <v>8</v>
      </c>
      <c r="DQ15" s="29" t="s">
        <v>8</v>
      </c>
      <c r="DR15" s="34">
        <f t="shared" si="178"/>
        <v>0.54878013237830126</v>
      </c>
      <c r="DS15" s="32">
        <f t="shared" si="179"/>
        <v>6.5964407694097504E-2</v>
      </c>
      <c r="DT15" s="54">
        <f t="shared" si="180"/>
        <v>1555729.5206138871</v>
      </c>
      <c r="DU15" s="132">
        <f t="shared" si="181"/>
        <v>0</v>
      </c>
      <c r="DV15" s="77" t="s">
        <v>8</v>
      </c>
      <c r="DW15" s="29" t="s">
        <v>8</v>
      </c>
      <c r="DX15" s="34">
        <f t="shared" si="182"/>
        <v>0.54878013237830126</v>
      </c>
      <c r="DY15" s="32">
        <f t="shared" si="183"/>
        <v>6.5964407694097504E-2</v>
      </c>
      <c r="DZ15" s="33">
        <f t="shared" si="184"/>
        <v>1555729.5206138871</v>
      </c>
      <c r="EA15" s="81">
        <f t="shared" si="185"/>
        <v>0</v>
      </c>
      <c r="EB15" s="77" t="s">
        <v>8</v>
      </c>
      <c r="EC15" s="29" t="s">
        <v>8</v>
      </c>
      <c r="ED15" s="34">
        <f t="shared" si="186"/>
        <v>0.54878013237830126</v>
      </c>
      <c r="EE15" s="32">
        <f t="shared" si="187"/>
        <v>6.5964407694097504E-2</v>
      </c>
      <c r="EF15" s="33">
        <f t="shared" si="188"/>
        <v>1555729.5206138871</v>
      </c>
      <c r="EG15" s="81">
        <f t="shared" si="189"/>
        <v>0</v>
      </c>
      <c r="EH15" s="77" t="s">
        <v>8</v>
      </c>
      <c r="EI15" s="29" t="s">
        <v>8</v>
      </c>
      <c r="EJ15" s="34">
        <f t="shared" si="190"/>
        <v>0.54878013237830126</v>
      </c>
      <c r="EK15" s="32">
        <f t="shared" si="191"/>
        <v>6.5964407694097504E-2</v>
      </c>
      <c r="EL15" s="33">
        <f t="shared" si="192"/>
        <v>1555729.5206138871</v>
      </c>
      <c r="EM15" s="81">
        <f t="shared" si="193"/>
        <v>0</v>
      </c>
      <c r="EN15" s="77" t="s">
        <v>8</v>
      </c>
      <c r="EO15" s="29" t="s">
        <v>8</v>
      </c>
      <c r="EP15" s="34">
        <f t="shared" si="194"/>
        <v>0.54878013237830126</v>
      </c>
      <c r="EQ15" s="32">
        <f t="shared" si="195"/>
        <v>6.5964407694097504E-2</v>
      </c>
      <c r="ER15" s="33">
        <f t="shared" si="196"/>
        <v>1555729.5206138871</v>
      </c>
      <c r="ES15" s="81">
        <f t="shared" si="197"/>
        <v>0</v>
      </c>
      <c r="ET15" s="77" t="s">
        <v>8</v>
      </c>
      <c r="EU15" s="29" t="s">
        <v>8</v>
      </c>
      <c r="EV15" s="34">
        <f t="shared" si="198"/>
        <v>0.54878013237830126</v>
      </c>
      <c r="EW15" s="32">
        <f t="shared" si="199"/>
        <v>6.5964407694097504E-2</v>
      </c>
      <c r="EX15" s="33">
        <f t="shared" si="200"/>
        <v>1555729.5206138871</v>
      </c>
      <c r="EY15" s="81">
        <f t="shared" si="201"/>
        <v>0</v>
      </c>
      <c r="EZ15" s="77" t="s">
        <v>8</v>
      </c>
      <c r="FA15" s="29" t="s">
        <v>8</v>
      </c>
      <c r="FB15" s="34">
        <f t="shared" si="202"/>
        <v>0.54878013237830126</v>
      </c>
      <c r="FC15" s="32">
        <f t="shared" si="203"/>
        <v>6.5964407694097504E-2</v>
      </c>
      <c r="FD15" s="33">
        <f t="shared" si="204"/>
        <v>1555729.5206138871</v>
      </c>
      <c r="FE15" s="81">
        <f t="shared" si="205"/>
        <v>0</v>
      </c>
      <c r="FF15" s="77" t="s">
        <v>8</v>
      </c>
      <c r="FG15" s="29" t="s">
        <v>8</v>
      </c>
      <c r="FH15" s="34">
        <f t="shared" si="206"/>
        <v>0.54878013237830126</v>
      </c>
      <c r="FI15" s="32">
        <f t="shared" si="207"/>
        <v>6.5964407694097504E-2</v>
      </c>
      <c r="FJ15" s="33">
        <f t="shared" si="208"/>
        <v>1555729.5206138871</v>
      </c>
      <c r="FK15" s="81">
        <f t="shared" si="209"/>
        <v>0</v>
      </c>
      <c r="FL15" s="77" t="s">
        <v>8</v>
      </c>
      <c r="FM15" s="29" t="s">
        <v>8</v>
      </c>
      <c r="FN15" s="34">
        <f t="shared" si="210"/>
        <v>0.54878013237830126</v>
      </c>
      <c r="FO15" s="32">
        <f t="shared" si="211"/>
        <v>6.5964407694097504E-2</v>
      </c>
      <c r="FP15" s="33">
        <f t="shared" si="212"/>
        <v>1555729.5206138871</v>
      </c>
      <c r="FQ15" s="81">
        <f t="shared" si="213"/>
        <v>0</v>
      </c>
      <c r="FR15" s="77" t="s">
        <v>8</v>
      </c>
      <c r="FS15" s="29" t="s">
        <v>8</v>
      </c>
      <c r="FT15" s="34">
        <f t="shared" si="214"/>
        <v>0.54878013237830126</v>
      </c>
      <c r="FU15" s="32">
        <f t="shared" si="215"/>
        <v>6.5964407694097504E-2</v>
      </c>
      <c r="FV15" s="33">
        <f t="shared" si="216"/>
        <v>1555729.5206138871</v>
      </c>
      <c r="FW15" s="81">
        <f t="shared" si="217"/>
        <v>0</v>
      </c>
      <c r="FX15" s="77" t="s">
        <v>8</v>
      </c>
      <c r="FY15" s="29" t="s">
        <v>8</v>
      </c>
      <c r="FZ15" s="34">
        <f t="shared" si="218"/>
        <v>0.54878013237830126</v>
      </c>
      <c r="GA15" s="32">
        <f t="shared" si="219"/>
        <v>6.5964407694097504E-2</v>
      </c>
      <c r="GB15" s="33">
        <f t="shared" si="220"/>
        <v>1555729.5206138871</v>
      </c>
      <c r="GC15" s="81">
        <f t="shared" si="221"/>
        <v>0</v>
      </c>
      <c r="GD15" s="77" t="s">
        <v>8</v>
      </c>
      <c r="GE15" s="29" t="s">
        <v>8</v>
      </c>
      <c r="GF15" s="34">
        <f t="shared" si="222"/>
        <v>0.54878013237830126</v>
      </c>
      <c r="GG15" s="32">
        <f t="shared" si="223"/>
        <v>6.5964407694097504E-2</v>
      </c>
      <c r="GH15" s="33">
        <f t="shared" si="224"/>
        <v>1555729.5206138871</v>
      </c>
      <c r="GI15" s="132">
        <f t="shared" si="225"/>
        <v>0</v>
      </c>
      <c r="GJ15" s="182">
        <f t="shared" si="228"/>
        <v>3196711.7792751933</v>
      </c>
      <c r="GK15" s="186">
        <f t="shared" si="226"/>
        <v>3410533.037147793</v>
      </c>
      <c r="GL15" s="179">
        <f t="shared" si="227"/>
        <v>0.54878013237830126</v>
      </c>
      <c r="GN15" s="184">
        <v>3410533.04</v>
      </c>
    </row>
    <row r="16" spans="1:196" s="24" customFormat="1" ht="34.799999999999997" customHeight="1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745</v>
      </c>
      <c r="H16" s="30">
        <f>'Исходные данные'!D18</f>
        <v>990623</v>
      </c>
      <c r="I16" s="31">
        <f>'Расчет КРП'!G14</f>
        <v>5.4549536643748846</v>
      </c>
      <c r="J16" s="117" t="s">
        <v>8</v>
      </c>
      <c r="K16" s="121">
        <f t="shared" si="104"/>
        <v>0.17111166137141892</v>
      </c>
      <c r="L16" s="78">
        <f t="shared" si="105"/>
        <v>125926.35345066135</v>
      </c>
      <c r="M16" s="74">
        <f t="shared" si="106"/>
        <v>0.19286309208662256</v>
      </c>
      <c r="N16" s="29" t="s">
        <v>8</v>
      </c>
      <c r="O16" s="32">
        <f t="shared" si="107"/>
        <v>0.15131547728741956</v>
      </c>
      <c r="P16" s="33">
        <f t="shared" si="108"/>
        <v>979958.221714732</v>
      </c>
      <c r="Q16" s="81">
        <f t="shared" si="109"/>
        <v>979958.221714732</v>
      </c>
      <c r="R16" s="152" t="s">
        <v>8</v>
      </c>
      <c r="S16" s="29" t="s">
        <v>8</v>
      </c>
      <c r="T16" s="34">
        <f t="shared" si="110"/>
        <v>0.36213261176483424</v>
      </c>
      <c r="U16" s="32">
        <f t="shared" si="111"/>
        <v>9.164529302260771E-2</v>
      </c>
      <c r="V16" s="54">
        <f t="shared" si="112"/>
        <v>814800.95638728025</v>
      </c>
      <c r="W16" s="81">
        <f t="shared" si="113"/>
        <v>814800.95638728025</v>
      </c>
      <c r="X16" s="77" t="s">
        <v>8</v>
      </c>
      <c r="Y16" s="29" t="s">
        <v>8</v>
      </c>
      <c r="Z16" s="34">
        <f t="shared" si="114"/>
        <v>0.50287429183328458</v>
      </c>
      <c r="AA16" s="32">
        <f t="shared" si="115"/>
        <v>7.5470529543529286E-2</v>
      </c>
      <c r="AB16" s="54">
        <f t="shared" si="116"/>
        <v>891702.36908786756</v>
      </c>
      <c r="AC16" s="81">
        <f t="shared" si="117"/>
        <v>256726.87040354588</v>
      </c>
      <c r="AD16" s="77" t="s">
        <v>8</v>
      </c>
      <c r="AE16" s="29" t="s">
        <v>8</v>
      </c>
      <c r="AF16" s="34">
        <f t="shared" si="118"/>
        <v>0.54721907417069815</v>
      </c>
      <c r="AG16" s="32">
        <f t="shared" si="119"/>
        <v>6.752546590170061E-2</v>
      </c>
      <c r="AH16" s="54">
        <f t="shared" si="120"/>
        <v>854775.21629884269</v>
      </c>
      <c r="AI16" s="81">
        <f t="shared" si="121"/>
        <v>0</v>
      </c>
      <c r="AJ16" s="77" t="s">
        <v>8</v>
      </c>
      <c r="AK16" s="29" t="s">
        <v>8</v>
      </c>
      <c r="AL16" s="34">
        <f t="shared" si="122"/>
        <v>0.54721907417069815</v>
      </c>
      <c r="AM16" s="32">
        <f t="shared" si="123"/>
        <v>6.752546590170061E-2</v>
      </c>
      <c r="AN16" s="54">
        <f t="shared" si="124"/>
        <v>854775.21629884269</v>
      </c>
      <c r="AO16" s="81">
        <f t="shared" si="125"/>
        <v>0</v>
      </c>
      <c r="AP16" s="77" t="s">
        <v>8</v>
      </c>
      <c r="AQ16" s="29" t="s">
        <v>8</v>
      </c>
      <c r="AR16" s="34">
        <f t="shared" si="126"/>
        <v>0.54721907417069815</v>
      </c>
      <c r="AS16" s="32">
        <f t="shared" si="127"/>
        <v>6.752546590170061E-2</v>
      </c>
      <c r="AT16" s="54">
        <f t="shared" si="128"/>
        <v>854775.21629884269</v>
      </c>
      <c r="AU16" s="81">
        <f t="shared" si="129"/>
        <v>0</v>
      </c>
      <c r="AV16" s="77" t="s">
        <v>8</v>
      </c>
      <c r="AW16" s="29" t="s">
        <v>8</v>
      </c>
      <c r="AX16" s="34">
        <f t="shared" si="130"/>
        <v>0.54721907417069815</v>
      </c>
      <c r="AY16" s="32">
        <f t="shared" si="131"/>
        <v>6.752546590170061E-2</v>
      </c>
      <c r="AZ16" s="54">
        <f t="shared" si="132"/>
        <v>854775.21629884269</v>
      </c>
      <c r="BA16" s="81">
        <f t="shared" si="133"/>
        <v>0</v>
      </c>
      <c r="BB16" s="77" t="s">
        <v>8</v>
      </c>
      <c r="BC16" s="29" t="s">
        <v>8</v>
      </c>
      <c r="BD16" s="34">
        <f t="shared" si="134"/>
        <v>0.54721907417069815</v>
      </c>
      <c r="BE16" s="32">
        <f t="shared" si="135"/>
        <v>6.752546590170061E-2</v>
      </c>
      <c r="BF16" s="54">
        <f t="shared" si="136"/>
        <v>854775.21629884269</v>
      </c>
      <c r="BG16" s="81">
        <f t="shared" si="137"/>
        <v>0</v>
      </c>
      <c r="BH16" s="77" t="s">
        <v>8</v>
      </c>
      <c r="BI16" s="29" t="s">
        <v>8</v>
      </c>
      <c r="BJ16" s="34">
        <f t="shared" si="138"/>
        <v>0.54721907417069815</v>
      </c>
      <c r="BK16" s="32">
        <f t="shared" si="139"/>
        <v>6.752546590170061E-2</v>
      </c>
      <c r="BL16" s="54">
        <f t="shared" si="140"/>
        <v>854775.21629884269</v>
      </c>
      <c r="BM16" s="81">
        <f t="shared" si="141"/>
        <v>0</v>
      </c>
      <c r="BN16" s="77" t="s">
        <v>8</v>
      </c>
      <c r="BO16" s="29" t="s">
        <v>8</v>
      </c>
      <c r="BP16" s="34">
        <f t="shared" si="142"/>
        <v>0.54721907417069815</v>
      </c>
      <c r="BQ16" s="32">
        <f t="shared" si="143"/>
        <v>6.752546590170061E-2</v>
      </c>
      <c r="BR16" s="54">
        <f t="shared" si="144"/>
        <v>854775.21629884269</v>
      </c>
      <c r="BS16" s="132">
        <f t="shared" si="145"/>
        <v>0</v>
      </c>
      <c r="BT16" s="77" t="s">
        <v>8</v>
      </c>
      <c r="BU16" s="29" t="s">
        <v>8</v>
      </c>
      <c r="BV16" s="34">
        <f t="shared" si="146"/>
        <v>0.54721907417069815</v>
      </c>
      <c r="BW16" s="32">
        <f t="shared" si="147"/>
        <v>6.752546590170061E-2</v>
      </c>
      <c r="BX16" s="54">
        <f t="shared" si="148"/>
        <v>854775.21629884269</v>
      </c>
      <c r="BY16" s="132">
        <f t="shared" si="149"/>
        <v>0</v>
      </c>
      <c r="BZ16" s="77" t="s">
        <v>8</v>
      </c>
      <c r="CA16" s="29" t="s">
        <v>8</v>
      </c>
      <c r="CB16" s="34">
        <f t="shared" si="150"/>
        <v>0.54721907417069815</v>
      </c>
      <c r="CC16" s="32">
        <f t="shared" si="151"/>
        <v>6.752546590170061E-2</v>
      </c>
      <c r="CD16" s="54">
        <f t="shared" si="152"/>
        <v>854775.21629884269</v>
      </c>
      <c r="CE16" s="132">
        <f t="shared" si="153"/>
        <v>0</v>
      </c>
      <c r="CF16" s="77" t="s">
        <v>8</v>
      </c>
      <c r="CG16" s="29" t="s">
        <v>8</v>
      </c>
      <c r="CH16" s="34">
        <f t="shared" si="154"/>
        <v>0.54721907417069815</v>
      </c>
      <c r="CI16" s="32">
        <f t="shared" si="155"/>
        <v>6.752546590170061E-2</v>
      </c>
      <c r="CJ16" s="54">
        <f t="shared" si="156"/>
        <v>854775.21629884269</v>
      </c>
      <c r="CK16" s="132">
        <f t="shared" si="157"/>
        <v>0</v>
      </c>
      <c r="CL16" s="77" t="s">
        <v>8</v>
      </c>
      <c r="CM16" s="29" t="s">
        <v>8</v>
      </c>
      <c r="CN16" s="34">
        <f t="shared" si="158"/>
        <v>0.54721907417069815</v>
      </c>
      <c r="CO16" s="32">
        <f t="shared" si="159"/>
        <v>6.752546590170061E-2</v>
      </c>
      <c r="CP16" s="54">
        <f t="shared" si="160"/>
        <v>854775.21629884269</v>
      </c>
      <c r="CQ16" s="132">
        <f t="shared" si="161"/>
        <v>0</v>
      </c>
      <c r="CR16" s="77" t="s">
        <v>8</v>
      </c>
      <c r="CS16" s="29" t="s">
        <v>8</v>
      </c>
      <c r="CT16" s="34">
        <f t="shared" si="162"/>
        <v>0.54721907417069815</v>
      </c>
      <c r="CU16" s="32">
        <f t="shared" si="163"/>
        <v>6.752546590170061E-2</v>
      </c>
      <c r="CV16" s="54">
        <f t="shared" si="164"/>
        <v>854775.21629884269</v>
      </c>
      <c r="CW16" s="132">
        <f t="shared" si="165"/>
        <v>0</v>
      </c>
      <c r="CX16" s="77" t="s">
        <v>8</v>
      </c>
      <c r="CY16" s="29" t="s">
        <v>8</v>
      </c>
      <c r="CZ16" s="34">
        <f t="shared" si="166"/>
        <v>0.54721907417069815</v>
      </c>
      <c r="DA16" s="32">
        <f t="shared" si="167"/>
        <v>6.752546590170061E-2</v>
      </c>
      <c r="DB16" s="54">
        <f t="shared" si="168"/>
        <v>854775.21629884269</v>
      </c>
      <c r="DC16" s="132">
        <f t="shared" si="169"/>
        <v>0</v>
      </c>
      <c r="DD16" s="77" t="s">
        <v>8</v>
      </c>
      <c r="DE16" s="29" t="s">
        <v>8</v>
      </c>
      <c r="DF16" s="34">
        <f t="shared" si="170"/>
        <v>0.54721907417069815</v>
      </c>
      <c r="DG16" s="32">
        <f t="shared" si="171"/>
        <v>6.752546590170061E-2</v>
      </c>
      <c r="DH16" s="54">
        <f t="shared" si="172"/>
        <v>854775.21629884269</v>
      </c>
      <c r="DI16" s="132">
        <f t="shared" si="173"/>
        <v>0</v>
      </c>
      <c r="DJ16" s="77" t="s">
        <v>8</v>
      </c>
      <c r="DK16" s="29" t="s">
        <v>8</v>
      </c>
      <c r="DL16" s="34">
        <f t="shared" si="174"/>
        <v>0.54721907417069815</v>
      </c>
      <c r="DM16" s="32">
        <f t="shared" si="175"/>
        <v>6.752546590170061E-2</v>
      </c>
      <c r="DN16" s="54">
        <f t="shared" si="176"/>
        <v>854775.21629884269</v>
      </c>
      <c r="DO16" s="132">
        <f t="shared" si="177"/>
        <v>0</v>
      </c>
      <c r="DP16" s="77" t="s">
        <v>8</v>
      </c>
      <c r="DQ16" s="29" t="s">
        <v>8</v>
      </c>
      <c r="DR16" s="34">
        <f t="shared" si="178"/>
        <v>0.54721907417069815</v>
      </c>
      <c r="DS16" s="32">
        <f t="shared" si="179"/>
        <v>6.752546590170061E-2</v>
      </c>
      <c r="DT16" s="54">
        <f t="shared" si="180"/>
        <v>854775.21629884269</v>
      </c>
      <c r="DU16" s="132">
        <f t="shared" si="181"/>
        <v>0</v>
      </c>
      <c r="DV16" s="77" t="s">
        <v>8</v>
      </c>
      <c r="DW16" s="29" t="s">
        <v>8</v>
      </c>
      <c r="DX16" s="34">
        <f t="shared" si="182"/>
        <v>0.54721907417069815</v>
      </c>
      <c r="DY16" s="32">
        <f t="shared" si="183"/>
        <v>6.752546590170061E-2</v>
      </c>
      <c r="DZ16" s="33">
        <f t="shared" si="184"/>
        <v>854775.21629884269</v>
      </c>
      <c r="EA16" s="81">
        <f t="shared" si="185"/>
        <v>0</v>
      </c>
      <c r="EB16" s="77" t="s">
        <v>8</v>
      </c>
      <c r="EC16" s="29" t="s">
        <v>8</v>
      </c>
      <c r="ED16" s="34">
        <f t="shared" si="186"/>
        <v>0.54721907417069815</v>
      </c>
      <c r="EE16" s="32">
        <f t="shared" si="187"/>
        <v>6.752546590170061E-2</v>
      </c>
      <c r="EF16" s="33">
        <f t="shared" si="188"/>
        <v>854775.21629884269</v>
      </c>
      <c r="EG16" s="81">
        <f t="shared" si="189"/>
        <v>0</v>
      </c>
      <c r="EH16" s="77" t="s">
        <v>8</v>
      </c>
      <c r="EI16" s="29" t="s">
        <v>8</v>
      </c>
      <c r="EJ16" s="34">
        <f t="shared" si="190"/>
        <v>0.54721907417069815</v>
      </c>
      <c r="EK16" s="32">
        <f t="shared" si="191"/>
        <v>6.752546590170061E-2</v>
      </c>
      <c r="EL16" s="33">
        <f t="shared" si="192"/>
        <v>854775.21629884269</v>
      </c>
      <c r="EM16" s="81">
        <f t="shared" si="193"/>
        <v>0</v>
      </c>
      <c r="EN16" s="77" t="s">
        <v>8</v>
      </c>
      <c r="EO16" s="29" t="s">
        <v>8</v>
      </c>
      <c r="EP16" s="34">
        <f t="shared" si="194"/>
        <v>0.54721907417069815</v>
      </c>
      <c r="EQ16" s="32">
        <f t="shared" si="195"/>
        <v>6.752546590170061E-2</v>
      </c>
      <c r="ER16" s="33">
        <f t="shared" si="196"/>
        <v>854775.21629884269</v>
      </c>
      <c r="ES16" s="81">
        <f t="shared" si="197"/>
        <v>0</v>
      </c>
      <c r="ET16" s="77" t="s">
        <v>8</v>
      </c>
      <c r="EU16" s="29" t="s">
        <v>8</v>
      </c>
      <c r="EV16" s="34">
        <f t="shared" si="198"/>
        <v>0.54721907417069815</v>
      </c>
      <c r="EW16" s="32">
        <f t="shared" si="199"/>
        <v>6.752546590170061E-2</v>
      </c>
      <c r="EX16" s="33">
        <f t="shared" si="200"/>
        <v>854775.21629884269</v>
      </c>
      <c r="EY16" s="81">
        <f t="shared" si="201"/>
        <v>0</v>
      </c>
      <c r="EZ16" s="77" t="s">
        <v>8</v>
      </c>
      <c r="FA16" s="29" t="s">
        <v>8</v>
      </c>
      <c r="FB16" s="34">
        <f t="shared" si="202"/>
        <v>0.54721907417069815</v>
      </c>
      <c r="FC16" s="32">
        <f t="shared" si="203"/>
        <v>6.752546590170061E-2</v>
      </c>
      <c r="FD16" s="33">
        <f t="shared" si="204"/>
        <v>854775.21629884269</v>
      </c>
      <c r="FE16" s="81">
        <f t="shared" si="205"/>
        <v>0</v>
      </c>
      <c r="FF16" s="77" t="s">
        <v>8</v>
      </c>
      <c r="FG16" s="29" t="s">
        <v>8</v>
      </c>
      <c r="FH16" s="34">
        <f t="shared" si="206"/>
        <v>0.54721907417069815</v>
      </c>
      <c r="FI16" s="32">
        <f t="shared" si="207"/>
        <v>6.752546590170061E-2</v>
      </c>
      <c r="FJ16" s="33">
        <f t="shared" si="208"/>
        <v>854775.21629884269</v>
      </c>
      <c r="FK16" s="81">
        <f t="shared" si="209"/>
        <v>0</v>
      </c>
      <c r="FL16" s="77" t="s">
        <v>8</v>
      </c>
      <c r="FM16" s="29" t="s">
        <v>8</v>
      </c>
      <c r="FN16" s="34">
        <f t="shared" si="210"/>
        <v>0.54721907417069815</v>
      </c>
      <c r="FO16" s="32">
        <f t="shared" si="211"/>
        <v>6.752546590170061E-2</v>
      </c>
      <c r="FP16" s="33">
        <f t="shared" si="212"/>
        <v>854775.21629884269</v>
      </c>
      <c r="FQ16" s="81">
        <f t="shared" si="213"/>
        <v>0</v>
      </c>
      <c r="FR16" s="77" t="s">
        <v>8</v>
      </c>
      <c r="FS16" s="29" t="s">
        <v>8</v>
      </c>
      <c r="FT16" s="34">
        <f t="shared" si="214"/>
        <v>0.54721907417069815</v>
      </c>
      <c r="FU16" s="32">
        <f t="shared" si="215"/>
        <v>6.752546590170061E-2</v>
      </c>
      <c r="FV16" s="33">
        <f t="shared" si="216"/>
        <v>854775.21629884269</v>
      </c>
      <c r="FW16" s="81">
        <f t="shared" si="217"/>
        <v>0</v>
      </c>
      <c r="FX16" s="77" t="s">
        <v>8</v>
      </c>
      <c r="FY16" s="29" t="s">
        <v>8</v>
      </c>
      <c r="FZ16" s="34">
        <f t="shared" si="218"/>
        <v>0.54721907417069815</v>
      </c>
      <c r="GA16" s="32">
        <f t="shared" si="219"/>
        <v>6.752546590170061E-2</v>
      </c>
      <c r="GB16" s="33">
        <f t="shared" si="220"/>
        <v>854775.21629884269</v>
      </c>
      <c r="GC16" s="81">
        <f t="shared" si="221"/>
        <v>0</v>
      </c>
      <c r="GD16" s="77" t="s">
        <v>8</v>
      </c>
      <c r="GE16" s="29" t="s">
        <v>8</v>
      </c>
      <c r="GF16" s="34">
        <f t="shared" si="222"/>
        <v>0.54721907417069815</v>
      </c>
      <c r="GG16" s="32">
        <f t="shared" si="223"/>
        <v>6.752546590170061E-2</v>
      </c>
      <c r="GH16" s="33">
        <f t="shared" si="224"/>
        <v>854775.21629884269</v>
      </c>
      <c r="GI16" s="132">
        <f t="shared" si="225"/>
        <v>0</v>
      </c>
      <c r="GJ16" s="182">
        <f t="shared" si="228"/>
        <v>2051486.0485055582</v>
      </c>
      <c r="GK16" s="186">
        <f t="shared" si="226"/>
        <v>2177412.4019562197</v>
      </c>
      <c r="GL16" s="179">
        <f t="shared" si="227"/>
        <v>0.54721907417069837</v>
      </c>
      <c r="GN16" s="184">
        <v>2177412.4</v>
      </c>
    </row>
    <row r="17" spans="1:196" s="24" customFormat="1" ht="31.2" customHeight="1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473</v>
      </c>
      <c r="H17" s="30">
        <f>'Исходные данные'!D19</f>
        <v>612355</v>
      </c>
      <c r="I17" s="31">
        <f>'Расчет КРП'!G15</f>
        <v>4.3616264534296691</v>
      </c>
      <c r="J17" s="117" t="s">
        <v>8</v>
      </c>
      <c r="K17" s="121">
        <f t="shared" si="104"/>
        <v>0.20835896861274428</v>
      </c>
      <c r="L17" s="78">
        <f t="shared" si="105"/>
        <v>79950.557291493722</v>
      </c>
      <c r="M17" s="74">
        <f t="shared" si="106"/>
        <v>0.23556282202664597</v>
      </c>
      <c r="N17" s="29" t="s">
        <v>8</v>
      </c>
      <c r="O17" s="32">
        <f t="shared" si="107"/>
        <v>0.10861574734739615</v>
      </c>
      <c r="P17" s="33">
        <f t="shared" si="108"/>
        <v>357091.30369121279</v>
      </c>
      <c r="Q17" s="81">
        <f t="shared" si="109"/>
        <v>357091.30369121279</v>
      </c>
      <c r="R17" s="152" t="s">
        <v>8</v>
      </c>
      <c r="S17" s="29" t="s">
        <v>8</v>
      </c>
      <c r="T17" s="34">
        <f t="shared" si="110"/>
        <v>0.35706615871481107</v>
      </c>
      <c r="U17" s="32">
        <f t="shared" si="111"/>
        <v>9.6711746072630889E-2</v>
      </c>
      <c r="V17" s="54">
        <f t="shared" si="112"/>
        <v>436498.60536124342</v>
      </c>
      <c r="W17" s="81">
        <f t="shared" si="113"/>
        <v>436498.60536124342</v>
      </c>
      <c r="X17" s="77" t="s">
        <v>8</v>
      </c>
      <c r="Y17" s="29" t="s">
        <v>8</v>
      </c>
      <c r="Z17" s="34">
        <f t="shared" si="114"/>
        <v>0.50558850149631851</v>
      </c>
      <c r="AA17" s="32">
        <f t="shared" si="115"/>
        <v>7.2756319880495357E-2</v>
      </c>
      <c r="AB17" s="54">
        <f t="shared" si="116"/>
        <v>436390.73061456555</v>
      </c>
      <c r="AC17" s="81">
        <f t="shared" si="117"/>
        <v>125639.70942276886</v>
      </c>
      <c r="AD17" s="77" t="s">
        <v>8</v>
      </c>
      <c r="AE17" s="29" t="s">
        <v>8</v>
      </c>
      <c r="AF17" s="34">
        <f t="shared" si="118"/>
        <v>0.54833847540382796</v>
      </c>
      <c r="AG17" s="32">
        <f t="shared" si="119"/>
        <v>6.6406064668570797E-2</v>
      </c>
      <c r="AH17" s="54">
        <f t="shared" si="120"/>
        <v>426731.15032013907</v>
      </c>
      <c r="AI17" s="81">
        <f t="shared" si="121"/>
        <v>0</v>
      </c>
      <c r="AJ17" s="77" t="s">
        <v>8</v>
      </c>
      <c r="AK17" s="29" t="s">
        <v>8</v>
      </c>
      <c r="AL17" s="34">
        <f t="shared" si="122"/>
        <v>0.54833847540382796</v>
      </c>
      <c r="AM17" s="32">
        <f t="shared" si="123"/>
        <v>6.6406064668570797E-2</v>
      </c>
      <c r="AN17" s="54">
        <f t="shared" si="124"/>
        <v>426731.15032013907</v>
      </c>
      <c r="AO17" s="81">
        <f t="shared" si="125"/>
        <v>0</v>
      </c>
      <c r="AP17" s="77" t="s">
        <v>8</v>
      </c>
      <c r="AQ17" s="29" t="s">
        <v>8</v>
      </c>
      <c r="AR17" s="34">
        <f t="shared" si="126"/>
        <v>0.54833847540382796</v>
      </c>
      <c r="AS17" s="32">
        <f t="shared" si="127"/>
        <v>6.6406064668570797E-2</v>
      </c>
      <c r="AT17" s="54">
        <f t="shared" si="128"/>
        <v>426731.15032013907</v>
      </c>
      <c r="AU17" s="81">
        <f t="shared" si="129"/>
        <v>0</v>
      </c>
      <c r="AV17" s="77" t="s">
        <v>8</v>
      </c>
      <c r="AW17" s="29" t="s">
        <v>8</v>
      </c>
      <c r="AX17" s="34">
        <f t="shared" si="130"/>
        <v>0.54833847540382796</v>
      </c>
      <c r="AY17" s="32">
        <f t="shared" si="131"/>
        <v>6.6406064668570797E-2</v>
      </c>
      <c r="AZ17" s="54">
        <f t="shared" si="132"/>
        <v>426731.15032013907</v>
      </c>
      <c r="BA17" s="81">
        <f t="shared" si="133"/>
        <v>0</v>
      </c>
      <c r="BB17" s="77" t="s">
        <v>8</v>
      </c>
      <c r="BC17" s="29" t="s">
        <v>8</v>
      </c>
      <c r="BD17" s="34">
        <f t="shared" si="134"/>
        <v>0.54833847540382796</v>
      </c>
      <c r="BE17" s="32">
        <f t="shared" si="135"/>
        <v>6.6406064668570797E-2</v>
      </c>
      <c r="BF17" s="54">
        <f t="shared" si="136"/>
        <v>426731.15032013907</v>
      </c>
      <c r="BG17" s="81">
        <f t="shared" si="137"/>
        <v>0</v>
      </c>
      <c r="BH17" s="77" t="s">
        <v>8</v>
      </c>
      <c r="BI17" s="29" t="s">
        <v>8</v>
      </c>
      <c r="BJ17" s="34">
        <f t="shared" si="138"/>
        <v>0.54833847540382796</v>
      </c>
      <c r="BK17" s="32">
        <f t="shared" si="139"/>
        <v>6.6406064668570797E-2</v>
      </c>
      <c r="BL17" s="54">
        <f t="shared" si="140"/>
        <v>426731.15032013907</v>
      </c>
      <c r="BM17" s="81">
        <f t="shared" si="141"/>
        <v>0</v>
      </c>
      <c r="BN17" s="77" t="s">
        <v>8</v>
      </c>
      <c r="BO17" s="29" t="s">
        <v>8</v>
      </c>
      <c r="BP17" s="34">
        <f t="shared" si="142"/>
        <v>0.54833847540382796</v>
      </c>
      <c r="BQ17" s="32">
        <f t="shared" si="143"/>
        <v>6.6406064668570797E-2</v>
      </c>
      <c r="BR17" s="54">
        <f t="shared" si="144"/>
        <v>426731.15032013907</v>
      </c>
      <c r="BS17" s="132">
        <f t="shared" si="145"/>
        <v>0</v>
      </c>
      <c r="BT17" s="77" t="s">
        <v>8</v>
      </c>
      <c r="BU17" s="29" t="s">
        <v>8</v>
      </c>
      <c r="BV17" s="34">
        <f t="shared" si="146"/>
        <v>0.54833847540382796</v>
      </c>
      <c r="BW17" s="32">
        <f t="shared" si="147"/>
        <v>6.6406064668570797E-2</v>
      </c>
      <c r="BX17" s="54">
        <f t="shared" si="148"/>
        <v>426731.15032013907</v>
      </c>
      <c r="BY17" s="132">
        <f t="shared" si="149"/>
        <v>0</v>
      </c>
      <c r="BZ17" s="77" t="s">
        <v>8</v>
      </c>
      <c r="CA17" s="29" t="s">
        <v>8</v>
      </c>
      <c r="CB17" s="34">
        <f t="shared" si="150"/>
        <v>0.54833847540382796</v>
      </c>
      <c r="CC17" s="32">
        <f t="shared" si="151"/>
        <v>6.6406064668570797E-2</v>
      </c>
      <c r="CD17" s="54">
        <f t="shared" si="152"/>
        <v>426731.15032013907</v>
      </c>
      <c r="CE17" s="132">
        <f t="shared" si="153"/>
        <v>0</v>
      </c>
      <c r="CF17" s="77" t="s">
        <v>8</v>
      </c>
      <c r="CG17" s="29" t="s">
        <v>8</v>
      </c>
      <c r="CH17" s="34">
        <f t="shared" si="154"/>
        <v>0.54833847540382796</v>
      </c>
      <c r="CI17" s="32">
        <f t="shared" si="155"/>
        <v>6.6406064668570797E-2</v>
      </c>
      <c r="CJ17" s="54">
        <f t="shared" si="156"/>
        <v>426731.15032013907</v>
      </c>
      <c r="CK17" s="132">
        <f t="shared" si="157"/>
        <v>0</v>
      </c>
      <c r="CL17" s="77" t="s">
        <v>8</v>
      </c>
      <c r="CM17" s="29" t="s">
        <v>8</v>
      </c>
      <c r="CN17" s="34">
        <f t="shared" si="158"/>
        <v>0.54833847540382796</v>
      </c>
      <c r="CO17" s="32">
        <f t="shared" si="159"/>
        <v>6.6406064668570797E-2</v>
      </c>
      <c r="CP17" s="54">
        <f t="shared" si="160"/>
        <v>426731.15032013907</v>
      </c>
      <c r="CQ17" s="132">
        <f t="shared" si="161"/>
        <v>0</v>
      </c>
      <c r="CR17" s="77" t="s">
        <v>8</v>
      </c>
      <c r="CS17" s="29" t="s">
        <v>8</v>
      </c>
      <c r="CT17" s="34">
        <f t="shared" si="162"/>
        <v>0.54833847540382796</v>
      </c>
      <c r="CU17" s="32">
        <f t="shared" si="163"/>
        <v>6.6406064668570797E-2</v>
      </c>
      <c r="CV17" s="54">
        <f t="shared" si="164"/>
        <v>426731.15032013907</v>
      </c>
      <c r="CW17" s="132">
        <f t="shared" si="165"/>
        <v>0</v>
      </c>
      <c r="CX17" s="77" t="s">
        <v>8</v>
      </c>
      <c r="CY17" s="29" t="s">
        <v>8</v>
      </c>
      <c r="CZ17" s="34">
        <f t="shared" si="166"/>
        <v>0.54833847540382796</v>
      </c>
      <c r="DA17" s="32">
        <f t="shared" si="167"/>
        <v>6.6406064668570797E-2</v>
      </c>
      <c r="DB17" s="54">
        <f t="shared" si="168"/>
        <v>426731.15032013907</v>
      </c>
      <c r="DC17" s="132">
        <f t="shared" si="169"/>
        <v>0</v>
      </c>
      <c r="DD17" s="77" t="s">
        <v>8</v>
      </c>
      <c r="DE17" s="29" t="s">
        <v>8</v>
      </c>
      <c r="DF17" s="34">
        <f t="shared" si="170"/>
        <v>0.54833847540382796</v>
      </c>
      <c r="DG17" s="32">
        <f t="shared" si="171"/>
        <v>6.6406064668570797E-2</v>
      </c>
      <c r="DH17" s="54">
        <f t="shared" si="172"/>
        <v>426731.15032013907</v>
      </c>
      <c r="DI17" s="132">
        <f t="shared" si="173"/>
        <v>0</v>
      </c>
      <c r="DJ17" s="77" t="s">
        <v>8</v>
      </c>
      <c r="DK17" s="29" t="s">
        <v>8</v>
      </c>
      <c r="DL17" s="34">
        <f t="shared" si="174"/>
        <v>0.54833847540382796</v>
      </c>
      <c r="DM17" s="32">
        <f t="shared" si="175"/>
        <v>6.6406064668570797E-2</v>
      </c>
      <c r="DN17" s="54">
        <f t="shared" si="176"/>
        <v>426731.15032013907</v>
      </c>
      <c r="DO17" s="132">
        <f t="shared" si="177"/>
        <v>0</v>
      </c>
      <c r="DP17" s="77" t="s">
        <v>8</v>
      </c>
      <c r="DQ17" s="29" t="s">
        <v>8</v>
      </c>
      <c r="DR17" s="34">
        <f t="shared" si="178"/>
        <v>0.54833847540382796</v>
      </c>
      <c r="DS17" s="32">
        <f t="shared" si="179"/>
        <v>6.6406064668570797E-2</v>
      </c>
      <c r="DT17" s="54">
        <f t="shared" si="180"/>
        <v>426731.15032013907</v>
      </c>
      <c r="DU17" s="132">
        <f t="shared" si="181"/>
        <v>0</v>
      </c>
      <c r="DV17" s="77" t="s">
        <v>8</v>
      </c>
      <c r="DW17" s="29" t="s">
        <v>8</v>
      </c>
      <c r="DX17" s="34">
        <f t="shared" si="182"/>
        <v>0.54833847540382796</v>
      </c>
      <c r="DY17" s="32">
        <f t="shared" si="183"/>
        <v>6.6406064668570797E-2</v>
      </c>
      <c r="DZ17" s="33">
        <f t="shared" si="184"/>
        <v>426731.15032013907</v>
      </c>
      <c r="EA17" s="81">
        <f t="shared" si="185"/>
        <v>0</v>
      </c>
      <c r="EB17" s="77" t="s">
        <v>8</v>
      </c>
      <c r="EC17" s="29" t="s">
        <v>8</v>
      </c>
      <c r="ED17" s="34">
        <f t="shared" si="186"/>
        <v>0.54833847540382796</v>
      </c>
      <c r="EE17" s="32">
        <f t="shared" si="187"/>
        <v>6.6406064668570797E-2</v>
      </c>
      <c r="EF17" s="33">
        <f t="shared" si="188"/>
        <v>426731.15032013907</v>
      </c>
      <c r="EG17" s="81">
        <f t="shared" si="189"/>
        <v>0</v>
      </c>
      <c r="EH17" s="77" t="s">
        <v>8</v>
      </c>
      <c r="EI17" s="29" t="s">
        <v>8</v>
      </c>
      <c r="EJ17" s="34">
        <f t="shared" si="190"/>
        <v>0.54833847540382796</v>
      </c>
      <c r="EK17" s="32">
        <f t="shared" si="191"/>
        <v>6.6406064668570797E-2</v>
      </c>
      <c r="EL17" s="33">
        <f t="shared" si="192"/>
        <v>426731.15032013907</v>
      </c>
      <c r="EM17" s="81">
        <f t="shared" si="193"/>
        <v>0</v>
      </c>
      <c r="EN17" s="77" t="s">
        <v>8</v>
      </c>
      <c r="EO17" s="29" t="s">
        <v>8</v>
      </c>
      <c r="EP17" s="34">
        <f t="shared" si="194"/>
        <v>0.54833847540382796</v>
      </c>
      <c r="EQ17" s="32">
        <f t="shared" si="195"/>
        <v>6.6406064668570797E-2</v>
      </c>
      <c r="ER17" s="33">
        <f t="shared" si="196"/>
        <v>426731.15032013907</v>
      </c>
      <c r="ES17" s="81">
        <f t="shared" si="197"/>
        <v>0</v>
      </c>
      <c r="ET17" s="77" t="s">
        <v>8</v>
      </c>
      <c r="EU17" s="29" t="s">
        <v>8</v>
      </c>
      <c r="EV17" s="34">
        <f t="shared" si="198"/>
        <v>0.54833847540382796</v>
      </c>
      <c r="EW17" s="32">
        <f t="shared" si="199"/>
        <v>6.6406064668570797E-2</v>
      </c>
      <c r="EX17" s="33">
        <f t="shared" si="200"/>
        <v>426731.15032013907</v>
      </c>
      <c r="EY17" s="81">
        <f t="shared" si="201"/>
        <v>0</v>
      </c>
      <c r="EZ17" s="77" t="s">
        <v>8</v>
      </c>
      <c r="FA17" s="29" t="s">
        <v>8</v>
      </c>
      <c r="FB17" s="34">
        <f t="shared" si="202"/>
        <v>0.54833847540382796</v>
      </c>
      <c r="FC17" s="32">
        <f t="shared" si="203"/>
        <v>6.6406064668570797E-2</v>
      </c>
      <c r="FD17" s="33">
        <f t="shared" si="204"/>
        <v>426731.15032013907</v>
      </c>
      <c r="FE17" s="81">
        <f t="shared" si="205"/>
        <v>0</v>
      </c>
      <c r="FF17" s="77" t="s">
        <v>8</v>
      </c>
      <c r="FG17" s="29" t="s">
        <v>8</v>
      </c>
      <c r="FH17" s="34">
        <f t="shared" si="206"/>
        <v>0.54833847540382796</v>
      </c>
      <c r="FI17" s="32">
        <f t="shared" si="207"/>
        <v>6.6406064668570797E-2</v>
      </c>
      <c r="FJ17" s="33">
        <f t="shared" si="208"/>
        <v>426731.15032013907</v>
      </c>
      <c r="FK17" s="81">
        <f t="shared" si="209"/>
        <v>0</v>
      </c>
      <c r="FL17" s="77" t="s">
        <v>8</v>
      </c>
      <c r="FM17" s="29" t="s">
        <v>8</v>
      </c>
      <c r="FN17" s="34">
        <f t="shared" si="210"/>
        <v>0.54833847540382796</v>
      </c>
      <c r="FO17" s="32">
        <f t="shared" si="211"/>
        <v>6.6406064668570797E-2</v>
      </c>
      <c r="FP17" s="33">
        <f t="shared" si="212"/>
        <v>426731.15032013907</v>
      </c>
      <c r="FQ17" s="81">
        <f t="shared" si="213"/>
        <v>0</v>
      </c>
      <c r="FR17" s="77" t="s">
        <v>8</v>
      </c>
      <c r="FS17" s="29" t="s">
        <v>8</v>
      </c>
      <c r="FT17" s="34">
        <f t="shared" si="214"/>
        <v>0.54833847540382796</v>
      </c>
      <c r="FU17" s="32">
        <f t="shared" si="215"/>
        <v>6.6406064668570797E-2</v>
      </c>
      <c r="FV17" s="33">
        <f t="shared" si="216"/>
        <v>426731.15032013907</v>
      </c>
      <c r="FW17" s="81">
        <f t="shared" si="217"/>
        <v>0</v>
      </c>
      <c r="FX17" s="77" t="s">
        <v>8</v>
      </c>
      <c r="FY17" s="29" t="s">
        <v>8</v>
      </c>
      <c r="FZ17" s="34">
        <f t="shared" si="218"/>
        <v>0.54833847540382796</v>
      </c>
      <c r="GA17" s="32">
        <f t="shared" si="219"/>
        <v>6.6406064668570797E-2</v>
      </c>
      <c r="GB17" s="33">
        <f t="shared" si="220"/>
        <v>426731.15032013907</v>
      </c>
      <c r="GC17" s="81">
        <f t="shared" si="221"/>
        <v>0</v>
      </c>
      <c r="GD17" s="77" t="s">
        <v>8</v>
      </c>
      <c r="GE17" s="29" t="s">
        <v>8</v>
      </c>
      <c r="GF17" s="34">
        <f t="shared" si="222"/>
        <v>0.54833847540382796</v>
      </c>
      <c r="GG17" s="32">
        <f t="shared" si="223"/>
        <v>6.6406064668570797E-2</v>
      </c>
      <c r="GH17" s="33">
        <f t="shared" si="224"/>
        <v>426731.15032013907</v>
      </c>
      <c r="GI17" s="132">
        <f t="shared" si="225"/>
        <v>0</v>
      </c>
      <c r="GJ17" s="182">
        <f t="shared" si="228"/>
        <v>919229.61847522517</v>
      </c>
      <c r="GK17" s="186">
        <f t="shared" si="226"/>
        <v>999180.17576671892</v>
      </c>
      <c r="GL17" s="179">
        <f t="shared" si="227"/>
        <v>0.54833847540382807</v>
      </c>
      <c r="GN17" s="188">
        <v>999180.17</v>
      </c>
    </row>
    <row r="18" spans="1:196" s="24" customFormat="1" ht="31.2" customHeight="1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1026</v>
      </c>
      <c r="H18" s="30">
        <f>'Исходные данные'!D20</f>
        <v>1901521</v>
      </c>
      <c r="I18" s="31">
        <f>'Расчет КРП'!G16</f>
        <v>5.0785705328709057</v>
      </c>
      <c r="J18" s="117" t="s">
        <v>8</v>
      </c>
      <c r="K18" s="121">
        <f t="shared" si="104"/>
        <v>0.25617150302687047</v>
      </c>
      <c r="L18" s="78">
        <f t="shared" si="105"/>
        <v>173423.40757097793</v>
      </c>
      <c r="M18" s="74">
        <f t="shared" si="106"/>
        <v>0.27953497625566942</v>
      </c>
      <c r="N18" s="29" t="s">
        <v>8</v>
      </c>
      <c r="O18" s="32">
        <f t="shared" si="107"/>
        <v>6.46435931183727E-2</v>
      </c>
      <c r="P18" s="33">
        <f t="shared" si="108"/>
        <v>536773.67363149673</v>
      </c>
      <c r="Q18" s="81">
        <f t="shared" si="109"/>
        <v>536773.67363149673</v>
      </c>
      <c r="R18" s="152" t="s">
        <v>8</v>
      </c>
      <c r="S18" s="29" t="s">
        <v>8</v>
      </c>
      <c r="T18" s="34">
        <f t="shared" si="110"/>
        <v>0.35184872864622169</v>
      </c>
      <c r="U18" s="32">
        <f t="shared" si="111"/>
        <v>0.10192917614122027</v>
      </c>
      <c r="V18" s="54">
        <f t="shared" si="112"/>
        <v>1161933.8138571761</v>
      </c>
      <c r="W18" s="81">
        <f t="shared" si="113"/>
        <v>1161933.8138571761</v>
      </c>
      <c r="X18" s="77" t="s">
        <v>8</v>
      </c>
      <c r="Y18" s="29" t="s">
        <v>8</v>
      </c>
      <c r="Z18" s="34">
        <f t="shared" si="114"/>
        <v>0.50838359284889778</v>
      </c>
      <c r="AA18" s="32">
        <f t="shared" si="115"/>
        <v>6.9961228527916086E-2</v>
      </c>
      <c r="AB18" s="54">
        <f t="shared" si="116"/>
        <v>1059842.8173490781</v>
      </c>
      <c r="AC18" s="81">
        <f t="shared" si="117"/>
        <v>305135.59125791024</v>
      </c>
      <c r="AD18" s="77" t="s">
        <v>8</v>
      </c>
      <c r="AE18" s="29" t="s">
        <v>8</v>
      </c>
      <c r="AF18" s="34">
        <f t="shared" si="118"/>
        <v>0.54949123406849609</v>
      </c>
      <c r="AG18" s="32">
        <f t="shared" si="119"/>
        <v>6.5253306003902667E-2</v>
      </c>
      <c r="AH18" s="54">
        <f t="shared" si="120"/>
        <v>1059079.0141320331</v>
      </c>
      <c r="AI18" s="81">
        <f t="shared" si="121"/>
        <v>0</v>
      </c>
      <c r="AJ18" s="77" t="s">
        <v>8</v>
      </c>
      <c r="AK18" s="29" t="s">
        <v>8</v>
      </c>
      <c r="AL18" s="34">
        <f t="shared" si="122"/>
        <v>0.54949123406849609</v>
      </c>
      <c r="AM18" s="32">
        <f t="shared" si="123"/>
        <v>6.5253306003902667E-2</v>
      </c>
      <c r="AN18" s="54">
        <f t="shared" si="124"/>
        <v>1059079.0141320331</v>
      </c>
      <c r="AO18" s="81">
        <f t="shared" si="125"/>
        <v>0</v>
      </c>
      <c r="AP18" s="77" t="s">
        <v>8</v>
      </c>
      <c r="AQ18" s="29" t="s">
        <v>8</v>
      </c>
      <c r="AR18" s="34">
        <f t="shared" si="126"/>
        <v>0.54949123406849609</v>
      </c>
      <c r="AS18" s="32">
        <f t="shared" si="127"/>
        <v>6.5253306003902667E-2</v>
      </c>
      <c r="AT18" s="54">
        <f t="shared" si="128"/>
        <v>1059079.0141320331</v>
      </c>
      <c r="AU18" s="81">
        <f t="shared" si="129"/>
        <v>0</v>
      </c>
      <c r="AV18" s="77" t="s">
        <v>8</v>
      </c>
      <c r="AW18" s="29" t="s">
        <v>8</v>
      </c>
      <c r="AX18" s="34">
        <f t="shared" si="130"/>
        <v>0.54949123406849609</v>
      </c>
      <c r="AY18" s="32">
        <f t="shared" si="131"/>
        <v>6.5253306003902667E-2</v>
      </c>
      <c r="AZ18" s="54">
        <f t="shared" si="132"/>
        <v>1059079.0141320331</v>
      </c>
      <c r="BA18" s="81">
        <f t="shared" si="133"/>
        <v>0</v>
      </c>
      <c r="BB18" s="77" t="s">
        <v>8</v>
      </c>
      <c r="BC18" s="29" t="s">
        <v>8</v>
      </c>
      <c r="BD18" s="34">
        <f t="shared" si="134"/>
        <v>0.54949123406849609</v>
      </c>
      <c r="BE18" s="32">
        <f t="shared" si="135"/>
        <v>6.5253306003902667E-2</v>
      </c>
      <c r="BF18" s="54">
        <f t="shared" si="136"/>
        <v>1059079.0141320331</v>
      </c>
      <c r="BG18" s="81">
        <f t="shared" si="137"/>
        <v>0</v>
      </c>
      <c r="BH18" s="77" t="s">
        <v>8</v>
      </c>
      <c r="BI18" s="29" t="s">
        <v>8</v>
      </c>
      <c r="BJ18" s="34">
        <f t="shared" si="138"/>
        <v>0.54949123406849609</v>
      </c>
      <c r="BK18" s="32">
        <f t="shared" si="139"/>
        <v>6.5253306003902667E-2</v>
      </c>
      <c r="BL18" s="54">
        <f t="shared" si="140"/>
        <v>1059079.0141320331</v>
      </c>
      <c r="BM18" s="81">
        <f t="shared" si="141"/>
        <v>0</v>
      </c>
      <c r="BN18" s="77" t="s">
        <v>8</v>
      </c>
      <c r="BO18" s="29" t="s">
        <v>8</v>
      </c>
      <c r="BP18" s="34">
        <f t="shared" si="142"/>
        <v>0.54949123406849609</v>
      </c>
      <c r="BQ18" s="32">
        <f t="shared" si="143"/>
        <v>6.5253306003902667E-2</v>
      </c>
      <c r="BR18" s="54">
        <f t="shared" si="144"/>
        <v>1059079.0141320331</v>
      </c>
      <c r="BS18" s="132">
        <f t="shared" si="145"/>
        <v>0</v>
      </c>
      <c r="BT18" s="77" t="s">
        <v>8</v>
      </c>
      <c r="BU18" s="29" t="s">
        <v>8</v>
      </c>
      <c r="BV18" s="34">
        <f t="shared" si="146"/>
        <v>0.54949123406849609</v>
      </c>
      <c r="BW18" s="32">
        <f t="shared" si="147"/>
        <v>6.5253306003902667E-2</v>
      </c>
      <c r="BX18" s="54">
        <f t="shared" si="148"/>
        <v>1059079.0141320331</v>
      </c>
      <c r="BY18" s="132">
        <f t="shared" si="149"/>
        <v>0</v>
      </c>
      <c r="BZ18" s="77" t="s">
        <v>8</v>
      </c>
      <c r="CA18" s="29" t="s">
        <v>8</v>
      </c>
      <c r="CB18" s="34">
        <f t="shared" si="150"/>
        <v>0.54949123406849609</v>
      </c>
      <c r="CC18" s="32">
        <f t="shared" si="151"/>
        <v>6.5253306003902667E-2</v>
      </c>
      <c r="CD18" s="54">
        <f t="shared" si="152"/>
        <v>1059079.0141320331</v>
      </c>
      <c r="CE18" s="132">
        <f t="shared" si="153"/>
        <v>0</v>
      </c>
      <c r="CF18" s="77" t="s">
        <v>8</v>
      </c>
      <c r="CG18" s="29" t="s">
        <v>8</v>
      </c>
      <c r="CH18" s="34">
        <f t="shared" si="154"/>
        <v>0.54949123406849609</v>
      </c>
      <c r="CI18" s="32">
        <f t="shared" si="155"/>
        <v>6.5253306003902667E-2</v>
      </c>
      <c r="CJ18" s="54">
        <f t="shared" si="156"/>
        <v>1059079.0141320331</v>
      </c>
      <c r="CK18" s="132">
        <f t="shared" si="157"/>
        <v>0</v>
      </c>
      <c r="CL18" s="77" t="s">
        <v>8</v>
      </c>
      <c r="CM18" s="29" t="s">
        <v>8</v>
      </c>
      <c r="CN18" s="34">
        <f t="shared" si="158"/>
        <v>0.54949123406849609</v>
      </c>
      <c r="CO18" s="32">
        <f t="shared" si="159"/>
        <v>6.5253306003902667E-2</v>
      </c>
      <c r="CP18" s="54">
        <f t="shared" si="160"/>
        <v>1059079.0141320331</v>
      </c>
      <c r="CQ18" s="132">
        <f t="shared" si="161"/>
        <v>0</v>
      </c>
      <c r="CR18" s="77" t="s">
        <v>8</v>
      </c>
      <c r="CS18" s="29" t="s">
        <v>8</v>
      </c>
      <c r="CT18" s="34">
        <f t="shared" si="162"/>
        <v>0.54949123406849609</v>
      </c>
      <c r="CU18" s="32">
        <f t="shared" si="163"/>
        <v>6.5253306003902667E-2</v>
      </c>
      <c r="CV18" s="54">
        <f t="shared" si="164"/>
        <v>1059079.0141320331</v>
      </c>
      <c r="CW18" s="132">
        <f t="shared" si="165"/>
        <v>0</v>
      </c>
      <c r="CX18" s="77" t="s">
        <v>8</v>
      </c>
      <c r="CY18" s="29" t="s">
        <v>8</v>
      </c>
      <c r="CZ18" s="34">
        <f t="shared" si="166"/>
        <v>0.54949123406849609</v>
      </c>
      <c r="DA18" s="32">
        <f t="shared" si="167"/>
        <v>6.5253306003902667E-2</v>
      </c>
      <c r="DB18" s="54">
        <f t="shared" si="168"/>
        <v>1059079.0141320331</v>
      </c>
      <c r="DC18" s="132">
        <f t="shared" si="169"/>
        <v>0</v>
      </c>
      <c r="DD18" s="77" t="s">
        <v>8</v>
      </c>
      <c r="DE18" s="29" t="s">
        <v>8</v>
      </c>
      <c r="DF18" s="34">
        <f t="shared" si="170"/>
        <v>0.54949123406849609</v>
      </c>
      <c r="DG18" s="32">
        <f t="shared" si="171"/>
        <v>6.5253306003902667E-2</v>
      </c>
      <c r="DH18" s="54">
        <f t="shared" si="172"/>
        <v>1059079.0141320331</v>
      </c>
      <c r="DI18" s="132">
        <f t="shared" si="173"/>
        <v>0</v>
      </c>
      <c r="DJ18" s="77" t="s">
        <v>8</v>
      </c>
      <c r="DK18" s="29" t="s">
        <v>8</v>
      </c>
      <c r="DL18" s="34">
        <f t="shared" si="174"/>
        <v>0.54949123406849609</v>
      </c>
      <c r="DM18" s="32">
        <f t="shared" si="175"/>
        <v>6.5253306003902667E-2</v>
      </c>
      <c r="DN18" s="54">
        <f t="shared" si="176"/>
        <v>1059079.0141320331</v>
      </c>
      <c r="DO18" s="132">
        <f t="shared" si="177"/>
        <v>0</v>
      </c>
      <c r="DP18" s="77" t="s">
        <v>8</v>
      </c>
      <c r="DQ18" s="29" t="s">
        <v>8</v>
      </c>
      <c r="DR18" s="34">
        <f t="shared" si="178"/>
        <v>0.54949123406849609</v>
      </c>
      <c r="DS18" s="32">
        <f t="shared" si="179"/>
        <v>6.5253306003902667E-2</v>
      </c>
      <c r="DT18" s="54">
        <f t="shared" si="180"/>
        <v>1059079.0141320331</v>
      </c>
      <c r="DU18" s="132">
        <f t="shared" si="181"/>
        <v>0</v>
      </c>
      <c r="DV18" s="77" t="s">
        <v>8</v>
      </c>
      <c r="DW18" s="29" t="s">
        <v>8</v>
      </c>
      <c r="DX18" s="34">
        <f t="shared" si="182"/>
        <v>0.54949123406849609</v>
      </c>
      <c r="DY18" s="32">
        <f t="shared" si="183"/>
        <v>6.5253306003902667E-2</v>
      </c>
      <c r="DZ18" s="33">
        <f t="shared" si="184"/>
        <v>1059079.0141320331</v>
      </c>
      <c r="EA18" s="81">
        <f t="shared" si="185"/>
        <v>0</v>
      </c>
      <c r="EB18" s="77" t="s">
        <v>8</v>
      </c>
      <c r="EC18" s="29" t="s">
        <v>8</v>
      </c>
      <c r="ED18" s="34">
        <f t="shared" si="186"/>
        <v>0.54949123406849609</v>
      </c>
      <c r="EE18" s="32">
        <f t="shared" si="187"/>
        <v>6.5253306003902667E-2</v>
      </c>
      <c r="EF18" s="33">
        <f t="shared" si="188"/>
        <v>1059079.0141320331</v>
      </c>
      <c r="EG18" s="81">
        <f t="shared" si="189"/>
        <v>0</v>
      </c>
      <c r="EH18" s="77" t="s">
        <v>8</v>
      </c>
      <c r="EI18" s="29" t="s">
        <v>8</v>
      </c>
      <c r="EJ18" s="34">
        <f t="shared" si="190"/>
        <v>0.54949123406849609</v>
      </c>
      <c r="EK18" s="32">
        <f t="shared" si="191"/>
        <v>6.5253306003902667E-2</v>
      </c>
      <c r="EL18" s="33">
        <f t="shared" si="192"/>
        <v>1059079.0141320331</v>
      </c>
      <c r="EM18" s="81">
        <f t="shared" si="193"/>
        <v>0</v>
      </c>
      <c r="EN18" s="77" t="s">
        <v>8</v>
      </c>
      <c r="EO18" s="29" t="s">
        <v>8</v>
      </c>
      <c r="EP18" s="34">
        <f t="shared" si="194"/>
        <v>0.54949123406849609</v>
      </c>
      <c r="EQ18" s="32">
        <f t="shared" si="195"/>
        <v>6.5253306003902667E-2</v>
      </c>
      <c r="ER18" s="33">
        <f t="shared" si="196"/>
        <v>1059079.0141320331</v>
      </c>
      <c r="ES18" s="81">
        <f t="shared" si="197"/>
        <v>0</v>
      </c>
      <c r="ET18" s="77" t="s">
        <v>8</v>
      </c>
      <c r="EU18" s="29" t="s">
        <v>8</v>
      </c>
      <c r="EV18" s="34">
        <f t="shared" si="198"/>
        <v>0.54949123406849609</v>
      </c>
      <c r="EW18" s="32">
        <f t="shared" si="199"/>
        <v>6.5253306003902667E-2</v>
      </c>
      <c r="EX18" s="33">
        <f t="shared" si="200"/>
        <v>1059079.0141320331</v>
      </c>
      <c r="EY18" s="81">
        <f t="shared" si="201"/>
        <v>0</v>
      </c>
      <c r="EZ18" s="77" t="s">
        <v>8</v>
      </c>
      <c r="FA18" s="29" t="s">
        <v>8</v>
      </c>
      <c r="FB18" s="34">
        <f t="shared" si="202"/>
        <v>0.54949123406849609</v>
      </c>
      <c r="FC18" s="32">
        <f t="shared" si="203"/>
        <v>6.5253306003902667E-2</v>
      </c>
      <c r="FD18" s="33">
        <f t="shared" si="204"/>
        <v>1059079.0141320331</v>
      </c>
      <c r="FE18" s="81">
        <f t="shared" si="205"/>
        <v>0</v>
      </c>
      <c r="FF18" s="77" t="s">
        <v>8</v>
      </c>
      <c r="FG18" s="29" t="s">
        <v>8</v>
      </c>
      <c r="FH18" s="34">
        <f t="shared" si="206"/>
        <v>0.54949123406849609</v>
      </c>
      <c r="FI18" s="32">
        <f t="shared" si="207"/>
        <v>6.5253306003902667E-2</v>
      </c>
      <c r="FJ18" s="33">
        <f t="shared" si="208"/>
        <v>1059079.0141320331</v>
      </c>
      <c r="FK18" s="81">
        <f t="shared" si="209"/>
        <v>0</v>
      </c>
      <c r="FL18" s="77" t="s">
        <v>8</v>
      </c>
      <c r="FM18" s="29" t="s">
        <v>8</v>
      </c>
      <c r="FN18" s="34">
        <f t="shared" si="210"/>
        <v>0.54949123406849609</v>
      </c>
      <c r="FO18" s="32">
        <f t="shared" si="211"/>
        <v>6.5253306003902667E-2</v>
      </c>
      <c r="FP18" s="33">
        <f t="shared" si="212"/>
        <v>1059079.0141320331</v>
      </c>
      <c r="FQ18" s="81">
        <f t="shared" si="213"/>
        <v>0</v>
      </c>
      <c r="FR18" s="77" t="s">
        <v>8</v>
      </c>
      <c r="FS18" s="29" t="s">
        <v>8</v>
      </c>
      <c r="FT18" s="34">
        <f t="shared" si="214"/>
        <v>0.54949123406849609</v>
      </c>
      <c r="FU18" s="32">
        <f t="shared" si="215"/>
        <v>6.5253306003902667E-2</v>
      </c>
      <c r="FV18" s="33">
        <f t="shared" si="216"/>
        <v>1059079.0141320331</v>
      </c>
      <c r="FW18" s="81">
        <f t="shared" si="217"/>
        <v>0</v>
      </c>
      <c r="FX18" s="77" t="s">
        <v>8</v>
      </c>
      <c r="FY18" s="29" t="s">
        <v>8</v>
      </c>
      <c r="FZ18" s="34">
        <f t="shared" si="218"/>
        <v>0.54949123406849609</v>
      </c>
      <c r="GA18" s="32">
        <f t="shared" si="219"/>
        <v>6.5253306003902667E-2</v>
      </c>
      <c r="GB18" s="33">
        <f t="shared" si="220"/>
        <v>1059079.0141320331</v>
      </c>
      <c r="GC18" s="81">
        <f t="shared" si="221"/>
        <v>0</v>
      </c>
      <c r="GD18" s="77" t="s">
        <v>8</v>
      </c>
      <c r="GE18" s="29" t="s">
        <v>8</v>
      </c>
      <c r="GF18" s="34">
        <f t="shared" si="222"/>
        <v>0.54949123406849609</v>
      </c>
      <c r="GG18" s="32">
        <f t="shared" si="223"/>
        <v>6.5253306003902667E-2</v>
      </c>
      <c r="GH18" s="33">
        <f t="shared" si="224"/>
        <v>1059079.0141320331</v>
      </c>
      <c r="GI18" s="132">
        <f t="shared" si="225"/>
        <v>0</v>
      </c>
      <c r="GJ18" s="182">
        <f t="shared" si="228"/>
        <v>2003843.0787465831</v>
      </c>
      <c r="GK18" s="186">
        <f t="shared" si="226"/>
        <v>2177266.486317561</v>
      </c>
      <c r="GL18" s="179">
        <f t="shared" si="227"/>
        <v>0.54949123406849587</v>
      </c>
      <c r="GN18" s="184">
        <v>2177266.4900000002</v>
      </c>
    </row>
    <row r="19" spans="1:196" s="24" customFormat="1" ht="31.2" customHeight="1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1564</v>
      </c>
      <c r="H19" s="30">
        <f>'Исходные данные'!D21</f>
        <v>2331676</v>
      </c>
      <c r="I19" s="31">
        <f>'Расчет КРП'!G17</f>
        <v>4.3246544429713021</v>
      </c>
      <c r="J19" s="117" t="s">
        <v>8</v>
      </c>
      <c r="K19" s="121">
        <f t="shared" si="104"/>
        <v>0.24199064775593532</v>
      </c>
      <c r="L19" s="78">
        <f t="shared" si="105"/>
        <v>264360.82791521389</v>
      </c>
      <c r="M19" s="74">
        <f t="shared" si="106"/>
        <v>0.26942707030713792</v>
      </c>
      <c r="N19" s="29" t="s">
        <v>8</v>
      </c>
      <c r="O19" s="32">
        <f t="shared" si="107"/>
        <v>7.4751499066904203E-2</v>
      </c>
      <c r="P19" s="33">
        <f t="shared" si="108"/>
        <v>805721.4704777163</v>
      </c>
      <c r="Q19" s="81">
        <f t="shared" si="109"/>
        <v>805721.4704777163</v>
      </c>
      <c r="R19" s="152" t="s">
        <v>8</v>
      </c>
      <c r="S19" s="29" t="s">
        <v>8</v>
      </c>
      <c r="T19" s="34">
        <f t="shared" si="110"/>
        <v>0.35304806248262344</v>
      </c>
      <c r="U19" s="32">
        <f t="shared" si="111"/>
        <v>0.10072984230481852</v>
      </c>
      <c r="V19" s="54">
        <f t="shared" si="112"/>
        <v>1490528.6952254693</v>
      </c>
      <c r="W19" s="81">
        <f t="shared" si="113"/>
        <v>1490528.6952254693</v>
      </c>
      <c r="X19" s="77" t="s">
        <v>8</v>
      </c>
      <c r="Y19" s="29" t="s">
        <v>8</v>
      </c>
      <c r="Z19" s="34">
        <f t="shared" si="114"/>
        <v>0.50774108349258373</v>
      </c>
      <c r="AA19" s="32">
        <f t="shared" si="115"/>
        <v>7.0603737884230133E-2</v>
      </c>
      <c r="AB19" s="54">
        <f t="shared" si="116"/>
        <v>1388388.5984636929</v>
      </c>
      <c r="AC19" s="81">
        <f t="shared" si="117"/>
        <v>399726.04328970471</v>
      </c>
      <c r="AD19" s="77" t="s">
        <v>8</v>
      </c>
      <c r="AE19" s="29" t="s">
        <v>8</v>
      </c>
      <c r="AF19" s="34">
        <f t="shared" si="118"/>
        <v>0.54922624873020365</v>
      </c>
      <c r="AG19" s="32">
        <f t="shared" si="119"/>
        <v>6.5518291342195112E-2</v>
      </c>
      <c r="AH19" s="54">
        <f t="shared" si="120"/>
        <v>1380345.2225663902</v>
      </c>
      <c r="AI19" s="81">
        <f t="shared" si="121"/>
        <v>0</v>
      </c>
      <c r="AJ19" s="77" t="s">
        <v>8</v>
      </c>
      <c r="AK19" s="29" t="s">
        <v>8</v>
      </c>
      <c r="AL19" s="34">
        <f t="shared" si="122"/>
        <v>0.54922624873020365</v>
      </c>
      <c r="AM19" s="32">
        <f t="shared" si="123"/>
        <v>6.5518291342195112E-2</v>
      </c>
      <c r="AN19" s="54">
        <f t="shared" si="124"/>
        <v>1380345.2225663902</v>
      </c>
      <c r="AO19" s="81">
        <f t="shared" si="125"/>
        <v>0</v>
      </c>
      <c r="AP19" s="77" t="s">
        <v>8</v>
      </c>
      <c r="AQ19" s="29" t="s">
        <v>8</v>
      </c>
      <c r="AR19" s="34">
        <f t="shared" si="126"/>
        <v>0.54922624873020365</v>
      </c>
      <c r="AS19" s="32">
        <f t="shared" si="127"/>
        <v>6.5518291342195112E-2</v>
      </c>
      <c r="AT19" s="54">
        <f t="shared" si="128"/>
        <v>1380345.2225663902</v>
      </c>
      <c r="AU19" s="81">
        <f t="shared" si="129"/>
        <v>0</v>
      </c>
      <c r="AV19" s="77" t="s">
        <v>8</v>
      </c>
      <c r="AW19" s="29" t="s">
        <v>8</v>
      </c>
      <c r="AX19" s="34">
        <f t="shared" si="130"/>
        <v>0.54922624873020365</v>
      </c>
      <c r="AY19" s="32">
        <f t="shared" si="131"/>
        <v>6.5518291342195112E-2</v>
      </c>
      <c r="AZ19" s="54">
        <f t="shared" si="132"/>
        <v>1380345.2225663902</v>
      </c>
      <c r="BA19" s="81">
        <f t="shared" si="133"/>
        <v>0</v>
      </c>
      <c r="BB19" s="77" t="s">
        <v>8</v>
      </c>
      <c r="BC19" s="29" t="s">
        <v>8</v>
      </c>
      <c r="BD19" s="34">
        <f t="shared" si="134"/>
        <v>0.54922624873020365</v>
      </c>
      <c r="BE19" s="32">
        <f t="shared" si="135"/>
        <v>6.5518291342195112E-2</v>
      </c>
      <c r="BF19" s="54">
        <f t="shared" si="136"/>
        <v>1380345.2225663902</v>
      </c>
      <c r="BG19" s="81">
        <f t="shared" si="137"/>
        <v>0</v>
      </c>
      <c r="BH19" s="77" t="s">
        <v>8</v>
      </c>
      <c r="BI19" s="29" t="s">
        <v>8</v>
      </c>
      <c r="BJ19" s="34">
        <f t="shared" si="138"/>
        <v>0.54922624873020365</v>
      </c>
      <c r="BK19" s="32">
        <f t="shared" si="139"/>
        <v>6.5518291342195112E-2</v>
      </c>
      <c r="BL19" s="54">
        <f t="shared" si="140"/>
        <v>1380345.2225663902</v>
      </c>
      <c r="BM19" s="81">
        <f t="shared" si="141"/>
        <v>0</v>
      </c>
      <c r="BN19" s="77" t="s">
        <v>8</v>
      </c>
      <c r="BO19" s="29" t="s">
        <v>8</v>
      </c>
      <c r="BP19" s="34">
        <f t="shared" si="142"/>
        <v>0.54922624873020365</v>
      </c>
      <c r="BQ19" s="32">
        <f t="shared" si="143"/>
        <v>6.5518291342195112E-2</v>
      </c>
      <c r="BR19" s="54">
        <f t="shared" si="144"/>
        <v>1380345.2225663902</v>
      </c>
      <c r="BS19" s="132">
        <f t="shared" si="145"/>
        <v>0</v>
      </c>
      <c r="BT19" s="77" t="s">
        <v>8</v>
      </c>
      <c r="BU19" s="29" t="s">
        <v>8</v>
      </c>
      <c r="BV19" s="34">
        <f t="shared" si="146"/>
        <v>0.54922624873020365</v>
      </c>
      <c r="BW19" s="32">
        <f t="shared" si="147"/>
        <v>6.5518291342195112E-2</v>
      </c>
      <c r="BX19" s="54">
        <f t="shared" si="148"/>
        <v>1380345.2225663902</v>
      </c>
      <c r="BY19" s="132">
        <f t="shared" si="149"/>
        <v>0</v>
      </c>
      <c r="BZ19" s="77" t="s">
        <v>8</v>
      </c>
      <c r="CA19" s="29" t="s">
        <v>8</v>
      </c>
      <c r="CB19" s="34">
        <f t="shared" si="150"/>
        <v>0.54922624873020365</v>
      </c>
      <c r="CC19" s="32">
        <f t="shared" si="151"/>
        <v>6.5518291342195112E-2</v>
      </c>
      <c r="CD19" s="54">
        <f t="shared" si="152"/>
        <v>1380345.2225663902</v>
      </c>
      <c r="CE19" s="132">
        <f t="shared" si="153"/>
        <v>0</v>
      </c>
      <c r="CF19" s="77" t="s">
        <v>8</v>
      </c>
      <c r="CG19" s="29" t="s">
        <v>8</v>
      </c>
      <c r="CH19" s="34">
        <f t="shared" si="154"/>
        <v>0.54922624873020365</v>
      </c>
      <c r="CI19" s="32">
        <f t="shared" si="155"/>
        <v>6.5518291342195112E-2</v>
      </c>
      <c r="CJ19" s="54">
        <f t="shared" si="156"/>
        <v>1380345.2225663902</v>
      </c>
      <c r="CK19" s="132">
        <f t="shared" si="157"/>
        <v>0</v>
      </c>
      <c r="CL19" s="77" t="s">
        <v>8</v>
      </c>
      <c r="CM19" s="29" t="s">
        <v>8</v>
      </c>
      <c r="CN19" s="34">
        <f t="shared" si="158"/>
        <v>0.54922624873020365</v>
      </c>
      <c r="CO19" s="32">
        <f t="shared" si="159"/>
        <v>6.5518291342195112E-2</v>
      </c>
      <c r="CP19" s="54">
        <f t="shared" si="160"/>
        <v>1380345.2225663902</v>
      </c>
      <c r="CQ19" s="132">
        <f t="shared" si="161"/>
        <v>0</v>
      </c>
      <c r="CR19" s="77" t="s">
        <v>8</v>
      </c>
      <c r="CS19" s="29" t="s">
        <v>8</v>
      </c>
      <c r="CT19" s="34">
        <f t="shared" si="162"/>
        <v>0.54922624873020365</v>
      </c>
      <c r="CU19" s="32">
        <f t="shared" si="163"/>
        <v>6.5518291342195112E-2</v>
      </c>
      <c r="CV19" s="54">
        <f t="shared" si="164"/>
        <v>1380345.2225663902</v>
      </c>
      <c r="CW19" s="132">
        <f t="shared" si="165"/>
        <v>0</v>
      </c>
      <c r="CX19" s="77" t="s">
        <v>8</v>
      </c>
      <c r="CY19" s="29" t="s">
        <v>8</v>
      </c>
      <c r="CZ19" s="34">
        <f t="shared" si="166"/>
        <v>0.54922624873020365</v>
      </c>
      <c r="DA19" s="32">
        <f t="shared" si="167"/>
        <v>6.5518291342195112E-2</v>
      </c>
      <c r="DB19" s="54">
        <f t="shared" si="168"/>
        <v>1380345.2225663902</v>
      </c>
      <c r="DC19" s="132">
        <f t="shared" si="169"/>
        <v>0</v>
      </c>
      <c r="DD19" s="77" t="s">
        <v>8</v>
      </c>
      <c r="DE19" s="29" t="s">
        <v>8</v>
      </c>
      <c r="DF19" s="34">
        <f t="shared" si="170"/>
        <v>0.54922624873020365</v>
      </c>
      <c r="DG19" s="32">
        <f t="shared" si="171"/>
        <v>6.5518291342195112E-2</v>
      </c>
      <c r="DH19" s="54">
        <f t="shared" si="172"/>
        <v>1380345.2225663902</v>
      </c>
      <c r="DI19" s="132">
        <f t="shared" si="173"/>
        <v>0</v>
      </c>
      <c r="DJ19" s="77" t="s">
        <v>8</v>
      </c>
      <c r="DK19" s="29" t="s">
        <v>8</v>
      </c>
      <c r="DL19" s="34">
        <f t="shared" si="174"/>
        <v>0.54922624873020365</v>
      </c>
      <c r="DM19" s="32">
        <f t="shared" si="175"/>
        <v>6.5518291342195112E-2</v>
      </c>
      <c r="DN19" s="54">
        <f t="shared" si="176"/>
        <v>1380345.2225663902</v>
      </c>
      <c r="DO19" s="132">
        <f t="shared" si="177"/>
        <v>0</v>
      </c>
      <c r="DP19" s="77" t="s">
        <v>8</v>
      </c>
      <c r="DQ19" s="29" t="s">
        <v>8</v>
      </c>
      <c r="DR19" s="34">
        <f t="shared" si="178"/>
        <v>0.54922624873020365</v>
      </c>
      <c r="DS19" s="32">
        <f t="shared" si="179"/>
        <v>6.5518291342195112E-2</v>
      </c>
      <c r="DT19" s="54">
        <f t="shared" si="180"/>
        <v>1380345.2225663902</v>
      </c>
      <c r="DU19" s="132">
        <f t="shared" si="181"/>
        <v>0</v>
      </c>
      <c r="DV19" s="77" t="s">
        <v>8</v>
      </c>
      <c r="DW19" s="29" t="s">
        <v>8</v>
      </c>
      <c r="DX19" s="34">
        <f t="shared" si="182"/>
        <v>0.54922624873020365</v>
      </c>
      <c r="DY19" s="32">
        <f t="shared" si="183"/>
        <v>6.5518291342195112E-2</v>
      </c>
      <c r="DZ19" s="33">
        <f t="shared" si="184"/>
        <v>1380345.2225663902</v>
      </c>
      <c r="EA19" s="81">
        <f t="shared" si="185"/>
        <v>0</v>
      </c>
      <c r="EB19" s="77" t="s">
        <v>8</v>
      </c>
      <c r="EC19" s="29" t="s">
        <v>8</v>
      </c>
      <c r="ED19" s="34">
        <f t="shared" si="186"/>
        <v>0.54922624873020365</v>
      </c>
      <c r="EE19" s="32">
        <f t="shared" si="187"/>
        <v>6.5518291342195112E-2</v>
      </c>
      <c r="EF19" s="33">
        <f t="shared" si="188"/>
        <v>1380345.2225663902</v>
      </c>
      <c r="EG19" s="81">
        <f t="shared" si="189"/>
        <v>0</v>
      </c>
      <c r="EH19" s="77" t="s">
        <v>8</v>
      </c>
      <c r="EI19" s="29" t="s">
        <v>8</v>
      </c>
      <c r="EJ19" s="34">
        <f t="shared" si="190"/>
        <v>0.54922624873020365</v>
      </c>
      <c r="EK19" s="32">
        <f t="shared" si="191"/>
        <v>6.5518291342195112E-2</v>
      </c>
      <c r="EL19" s="33">
        <f t="shared" si="192"/>
        <v>1380345.2225663902</v>
      </c>
      <c r="EM19" s="81">
        <f t="shared" si="193"/>
        <v>0</v>
      </c>
      <c r="EN19" s="77" t="s">
        <v>8</v>
      </c>
      <c r="EO19" s="29" t="s">
        <v>8</v>
      </c>
      <c r="EP19" s="34">
        <f t="shared" si="194"/>
        <v>0.54922624873020365</v>
      </c>
      <c r="EQ19" s="32">
        <f t="shared" si="195"/>
        <v>6.5518291342195112E-2</v>
      </c>
      <c r="ER19" s="33">
        <f t="shared" si="196"/>
        <v>1380345.2225663902</v>
      </c>
      <c r="ES19" s="81">
        <f t="shared" si="197"/>
        <v>0</v>
      </c>
      <c r="ET19" s="77" t="s">
        <v>8</v>
      </c>
      <c r="EU19" s="29" t="s">
        <v>8</v>
      </c>
      <c r="EV19" s="34">
        <f t="shared" si="198"/>
        <v>0.54922624873020365</v>
      </c>
      <c r="EW19" s="32">
        <f t="shared" si="199"/>
        <v>6.5518291342195112E-2</v>
      </c>
      <c r="EX19" s="33">
        <f t="shared" si="200"/>
        <v>1380345.2225663902</v>
      </c>
      <c r="EY19" s="81">
        <f t="shared" si="201"/>
        <v>0</v>
      </c>
      <c r="EZ19" s="77" t="s">
        <v>8</v>
      </c>
      <c r="FA19" s="29" t="s">
        <v>8</v>
      </c>
      <c r="FB19" s="34">
        <f t="shared" si="202"/>
        <v>0.54922624873020365</v>
      </c>
      <c r="FC19" s="32">
        <f t="shared" si="203"/>
        <v>6.5518291342195112E-2</v>
      </c>
      <c r="FD19" s="33">
        <f t="shared" si="204"/>
        <v>1380345.2225663902</v>
      </c>
      <c r="FE19" s="81">
        <f t="shared" si="205"/>
        <v>0</v>
      </c>
      <c r="FF19" s="77" t="s">
        <v>8</v>
      </c>
      <c r="FG19" s="29" t="s">
        <v>8</v>
      </c>
      <c r="FH19" s="34">
        <f t="shared" si="206"/>
        <v>0.54922624873020365</v>
      </c>
      <c r="FI19" s="32">
        <f t="shared" si="207"/>
        <v>6.5518291342195112E-2</v>
      </c>
      <c r="FJ19" s="33">
        <f t="shared" si="208"/>
        <v>1380345.2225663902</v>
      </c>
      <c r="FK19" s="81">
        <f t="shared" si="209"/>
        <v>0</v>
      </c>
      <c r="FL19" s="77" t="s">
        <v>8</v>
      </c>
      <c r="FM19" s="29" t="s">
        <v>8</v>
      </c>
      <c r="FN19" s="34">
        <f t="shared" si="210"/>
        <v>0.54922624873020365</v>
      </c>
      <c r="FO19" s="32">
        <f t="shared" si="211"/>
        <v>6.5518291342195112E-2</v>
      </c>
      <c r="FP19" s="33">
        <f t="shared" si="212"/>
        <v>1380345.2225663902</v>
      </c>
      <c r="FQ19" s="81">
        <f t="shared" si="213"/>
        <v>0</v>
      </c>
      <c r="FR19" s="77" t="s">
        <v>8</v>
      </c>
      <c r="FS19" s="29" t="s">
        <v>8</v>
      </c>
      <c r="FT19" s="34">
        <f t="shared" si="214"/>
        <v>0.54922624873020365</v>
      </c>
      <c r="FU19" s="32">
        <f t="shared" si="215"/>
        <v>6.5518291342195112E-2</v>
      </c>
      <c r="FV19" s="33">
        <f t="shared" si="216"/>
        <v>1380345.2225663902</v>
      </c>
      <c r="FW19" s="81">
        <f t="shared" si="217"/>
        <v>0</v>
      </c>
      <c r="FX19" s="77" t="s">
        <v>8</v>
      </c>
      <c r="FY19" s="29" t="s">
        <v>8</v>
      </c>
      <c r="FZ19" s="34">
        <f t="shared" si="218"/>
        <v>0.54922624873020365</v>
      </c>
      <c r="GA19" s="32">
        <f t="shared" si="219"/>
        <v>6.5518291342195112E-2</v>
      </c>
      <c r="GB19" s="33">
        <f t="shared" si="220"/>
        <v>1380345.2225663902</v>
      </c>
      <c r="GC19" s="81">
        <f t="shared" si="221"/>
        <v>0</v>
      </c>
      <c r="GD19" s="77" t="s">
        <v>8</v>
      </c>
      <c r="GE19" s="29" t="s">
        <v>8</v>
      </c>
      <c r="GF19" s="34">
        <f t="shared" si="222"/>
        <v>0.54922624873020365</v>
      </c>
      <c r="GG19" s="32">
        <f t="shared" si="223"/>
        <v>6.5518291342195112E-2</v>
      </c>
      <c r="GH19" s="33">
        <f t="shared" si="224"/>
        <v>1380345.2225663902</v>
      </c>
      <c r="GI19" s="132">
        <f t="shared" si="225"/>
        <v>0</v>
      </c>
      <c r="GJ19" s="182">
        <f t="shared" si="228"/>
        <v>2695976.2089928905</v>
      </c>
      <c r="GK19" s="186">
        <f t="shared" si="226"/>
        <v>2960337.0369081046</v>
      </c>
      <c r="GL19" s="179">
        <f t="shared" si="227"/>
        <v>0.54922624873020376</v>
      </c>
      <c r="GN19" s="184">
        <v>2960337.04</v>
      </c>
    </row>
    <row r="20" spans="1:196" s="24" customFormat="1" ht="31.2" customHeight="1" thickBot="1" x14ac:dyDescent="0.35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4856</v>
      </c>
      <c r="H20" s="30">
        <f>'Исходные данные'!D22</f>
        <v>7406412</v>
      </c>
      <c r="I20" s="31">
        <f>'Расчет КРП'!G18</f>
        <v>1.2362513901498315</v>
      </c>
      <c r="J20" s="117" t="s">
        <v>8</v>
      </c>
      <c r="K20" s="121">
        <f t="shared" si="104"/>
        <v>0.86604595114421601</v>
      </c>
      <c r="L20" s="78">
        <f t="shared" si="105"/>
        <v>820803.18437102216</v>
      </c>
      <c r="M20" s="74">
        <f t="shared" si="106"/>
        <v>0.96202404073885428</v>
      </c>
      <c r="N20" s="29" t="s">
        <v>8</v>
      </c>
      <c r="O20" s="32">
        <f t="shared" si="107"/>
        <v>-0.61784547136481216</v>
      </c>
      <c r="P20" s="33">
        <f t="shared" si="108"/>
        <v>0</v>
      </c>
      <c r="Q20" s="81">
        <f t="shared" si="109"/>
        <v>0</v>
      </c>
      <c r="R20" s="152" t="s">
        <v>8</v>
      </c>
      <c r="S20" s="29" t="s">
        <v>8</v>
      </c>
      <c r="T20" s="34">
        <f t="shared" si="110"/>
        <v>0.96202404073885428</v>
      </c>
      <c r="U20" s="32">
        <f t="shared" si="111"/>
        <v>-0.50824613595141233</v>
      </c>
      <c r="V20" s="54">
        <f t="shared" si="112"/>
        <v>0</v>
      </c>
      <c r="W20" s="81">
        <f t="shared" si="113"/>
        <v>0</v>
      </c>
      <c r="X20" s="77" t="s">
        <v>8</v>
      </c>
      <c r="Y20" s="29" t="s">
        <v>8</v>
      </c>
      <c r="Z20" s="34">
        <f t="shared" si="114"/>
        <v>0.96202404073885428</v>
      </c>
      <c r="AA20" s="32">
        <f t="shared" si="115"/>
        <v>-0.38367921936204041</v>
      </c>
      <c r="AB20" s="54">
        <f t="shared" si="116"/>
        <v>0</v>
      </c>
      <c r="AC20" s="81">
        <f t="shared" si="117"/>
        <v>0</v>
      </c>
      <c r="AD20" s="77" t="s">
        <v>8</v>
      </c>
      <c r="AE20" s="29" t="s">
        <v>8</v>
      </c>
      <c r="AF20" s="34">
        <f t="shared" si="118"/>
        <v>0.96202404073885428</v>
      </c>
      <c r="AG20" s="32">
        <f t="shared" si="119"/>
        <v>-0.34727950066645552</v>
      </c>
      <c r="AH20" s="54">
        <f t="shared" si="120"/>
        <v>0</v>
      </c>
      <c r="AI20" s="81">
        <f t="shared" si="121"/>
        <v>0</v>
      </c>
      <c r="AJ20" s="77" t="s">
        <v>8</v>
      </c>
      <c r="AK20" s="29" t="s">
        <v>8</v>
      </c>
      <c r="AL20" s="34">
        <f t="shared" si="122"/>
        <v>0.96202404073885428</v>
      </c>
      <c r="AM20" s="32">
        <f t="shared" si="123"/>
        <v>-0.34727950066645552</v>
      </c>
      <c r="AN20" s="54">
        <f t="shared" si="124"/>
        <v>0</v>
      </c>
      <c r="AO20" s="81">
        <f t="shared" si="125"/>
        <v>0</v>
      </c>
      <c r="AP20" s="77" t="s">
        <v>8</v>
      </c>
      <c r="AQ20" s="29" t="s">
        <v>8</v>
      </c>
      <c r="AR20" s="34">
        <f t="shared" si="126"/>
        <v>0.96202404073885428</v>
      </c>
      <c r="AS20" s="32">
        <f t="shared" si="127"/>
        <v>-0.34727950066645552</v>
      </c>
      <c r="AT20" s="54">
        <f t="shared" si="128"/>
        <v>0</v>
      </c>
      <c r="AU20" s="81">
        <f t="shared" si="129"/>
        <v>0</v>
      </c>
      <c r="AV20" s="77" t="s">
        <v>8</v>
      </c>
      <c r="AW20" s="29" t="s">
        <v>8</v>
      </c>
      <c r="AX20" s="34">
        <f t="shared" si="130"/>
        <v>0.96202404073885428</v>
      </c>
      <c r="AY20" s="32">
        <f t="shared" si="131"/>
        <v>-0.34727950066645552</v>
      </c>
      <c r="AZ20" s="54">
        <f t="shared" si="132"/>
        <v>0</v>
      </c>
      <c r="BA20" s="81">
        <f t="shared" si="133"/>
        <v>0</v>
      </c>
      <c r="BB20" s="77" t="s">
        <v>8</v>
      </c>
      <c r="BC20" s="29" t="s">
        <v>8</v>
      </c>
      <c r="BD20" s="34">
        <f t="shared" si="134"/>
        <v>0.96202404073885428</v>
      </c>
      <c r="BE20" s="32">
        <f t="shared" si="135"/>
        <v>-0.34727950066645552</v>
      </c>
      <c r="BF20" s="54">
        <f t="shared" si="136"/>
        <v>0</v>
      </c>
      <c r="BG20" s="81">
        <f t="shared" si="137"/>
        <v>0</v>
      </c>
      <c r="BH20" s="77" t="s">
        <v>8</v>
      </c>
      <c r="BI20" s="29" t="s">
        <v>8</v>
      </c>
      <c r="BJ20" s="34">
        <f t="shared" si="138"/>
        <v>0.96202404073885428</v>
      </c>
      <c r="BK20" s="32">
        <f t="shared" si="139"/>
        <v>-0.34727950066645552</v>
      </c>
      <c r="BL20" s="54">
        <f t="shared" si="140"/>
        <v>0</v>
      </c>
      <c r="BM20" s="81">
        <f t="shared" si="141"/>
        <v>0</v>
      </c>
      <c r="BN20" s="77" t="s">
        <v>8</v>
      </c>
      <c r="BO20" s="29" t="s">
        <v>8</v>
      </c>
      <c r="BP20" s="34">
        <f t="shared" si="142"/>
        <v>0.96202404073885428</v>
      </c>
      <c r="BQ20" s="32">
        <f t="shared" si="143"/>
        <v>-0.34727950066645552</v>
      </c>
      <c r="BR20" s="54">
        <f t="shared" si="144"/>
        <v>0</v>
      </c>
      <c r="BS20" s="132">
        <f t="shared" si="145"/>
        <v>0</v>
      </c>
      <c r="BT20" s="77" t="s">
        <v>8</v>
      </c>
      <c r="BU20" s="29" t="s">
        <v>8</v>
      </c>
      <c r="BV20" s="34">
        <f t="shared" si="146"/>
        <v>0.96202404073885428</v>
      </c>
      <c r="BW20" s="32">
        <f t="shared" si="147"/>
        <v>-0.34727950066645552</v>
      </c>
      <c r="BX20" s="54">
        <f t="shared" si="148"/>
        <v>0</v>
      </c>
      <c r="BY20" s="132">
        <f t="shared" si="149"/>
        <v>0</v>
      </c>
      <c r="BZ20" s="77" t="s">
        <v>8</v>
      </c>
      <c r="CA20" s="29" t="s">
        <v>8</v>
      </c>
      <c r="CB20" s="34">
        <f t="shared" si="150"/>
        <v>0.96202404073885428</v>
      </c>
      <c r="CC20" s="32">
        <f t="shared" si="151"/>
        <v>-0.34727950066645552</v>
      </c>
      <c r="CD20" s="54">
        <f t="shared" si="152"/>
        <v>0</v>
      </c>
      <c r="CE20" s="132">
        <f t="shared" si="153"/>
        <v>0</v>
      </c>
      <c r="CF20" s="77" t="s">
        <v>8</v>
      </c>
      <c r="CG20" s="29" t="s">
        <v>8</v>
      </c>
      <c r="CH20" s="34">
        <f t="shared" si="154"/>
        <v>0.96202404073885428</v>
      </c>
      <c r="CI20" s="32">
        <f t="shared" si="155"/>
        <v>-0.34727950066645552</v>
      </c>
      <c r="CJ20" s="54">
        <f t="shared" si="156"/>
        <v>0</v>
      </c>
      <c r="CK20" s="132">
        <f t="shared" si="157"/>
        <v>0</v>
      </c>
      <c r="CL20" s="77" t="s">
        <v>8</v>
      </c>
      <c r="CM20" s="29" t="s">
        <v>8</v>
      </c>
      <c r="CN20" s="34">
        <f t="shared" si="158"/>
        <v>0.96202404073885428</v>
      </c>
      <c r="CO20" s="32">
        <f t="shared" si="159"/>
        <v>-0.34727950066645552</v>
      </c>
      <c r="CP20" s="54">
        <f t="shared" si="160"/>
        <v>0</v>
      </c>
      <c r="CQ20" s="132">
        <f t="shared" si="161"/>
        <v>0</v>
      </c>
      <c r="CR20" s="77" t="s">
        <v>8</v>
      </c>
      <c r="CS20" s="29" t="s">
        <v>8</v>
      </c>
      <c r="CT20" s="34">
        <f t="shared" si="162"/>
        <v>0.96202404073885428</v>
      </c>
      <c r="CU20" s="32">
        <f t="shared" si="163"/>
        <v>-0.34727950066645552</v>
      </c>
      <c r="CV20" s="54">
        <f t="shared" si="164"/>
        <v>0</v>
      </c>
      <c r="CW20" s="132">
        <f t="shared" si="165"/>
        <v>0</v>
      </c>
      <c r="CX20" s="77" t="s">
        <v>8</v>
      </c>
      <c r="CY20" s="29" t="s">
        <v>8</v>
      </c>
      <c r="CZ20" s="34">
        <f t="shared" si="166"/>
        <v>0.96202404073885428</v>
      </c>
      <c r="DA20" s="32">
        <f t="shared" si="167"/>
        <v>-0.34727950066645552</v>
      </c>
      <c r="DB20" s="54">
        <f t="shared" si="168"/>
        <v>0</v>
      </c>
      <c r="DC20" s="132">
        <f t="shared" si="169"/>
        <v>0</v>
      </c>
      <c r="DD20" s="77" t="s">
        <v>8</v>
      </c>
      <c r="DE20" s="29" t="s">
        <v>8</v>
      </c>
      <c r="DF20" s="34">
        <f t="shared" si="170"/>
        <v>0.96202404073885428</v>
      </c>
      <c r="DG20" s="32">
        <f t="shared" si="171"/>
        <v>-0.34727950066645552</v>
      </c>
      <c r="DH20" s="54">
        <f t="shared" si="172"/>
        <v>0</v>
      </c>
      <c r="DI20" s="132">
        <f t="shared" si="173"/>
        <v>0</v>
      </c>
      <c r="DJ20" s="77" t="s">
        <v>8</v>
      </c>
      <c r="DK20" s="29" t="s">
        <v>8</v>
      </c>
      <c r="DL20" s="34">
        <f t="shared" si="174"/>
        <v>0.96202404073885428</v>
      </c>
      <c r="DM20" s="32">
        <f t="shared" si="175"/>
        <v>-0.34727950066645552</v>
      </c>
      <c r="DN20" s="54">
        <f t="shared" si="176"/>
        <v>0</v>
      </c>
      <c r="DO20" s="132">
        <f t="shared" si="177"/>
        <v>0</v>
      </c>
      <c r="DP20" s="77" t="s">
        <v>8</v>
      </c>
      <c r="DQ20" s="29" t="s">
        <v>8</v>
      </c>
      <c r="DR20" s="34">
        <f t="shared" si="178"/>
        <v>0.96202404073885428</v>
      </c>
      <c r="DS20" s="32">
        <f t="shared" si="179"/>
        <v>-0.34727950066645552</v>
      </c>
      <c r="DT20" s="54">
        <f t="shared" si="180"/>
        <v>0</v>
      </c>
      <c r="DU20" s="132">
        <f t="shared" si="181"/>
        <v>0</v>
      </c>
      <c r="DV20" s="77" t="s">
        <v>8</v>
      </c>
      <c r="DW20" s="29" t="s">
        <v>8</v>
      </c>
      <c r="DX20" s="34">
        <f t="shared" si="182"/>
        <v>0.96202404073885428</v>
      </c>
      <c r="DY20" s="32">
        <f t="shared" si="183"/>
        <v>-0.34727950066645552</v>
      </c>
      <c r="DZ20" s="33">
        <f t="shared" si="184"/>
        <v>0</v>
      </c>
      <c r="EA20" s="81">
        <f t="shared" si="185"/>
        <v>0</v>
      </c>
      <c r="EB20" s="77" t="s">
        <v>8</v>
      </c>
      <c r="EC20" s="29" t="s">
        <v>8</v>
      </c>
      <c r="ED20" s="34">
        <f t="shared" si="186"/>
        <v>0.96202404073885428</v>
      </c>
      <c r="EE20" s="32">
        <f t="shared" si="187"/>
        <v>-0.34727950066645552</v>
      </c>
      <c r="EF20" s="33">
        <f t="shared" si="188"/>
        <v>0</v>
      </c>
      <c r="EG20" s="81">
        <f t="shared" si="189"/>
        <v>0</v>
      </c>
      <c r="EH20" s="77" t="s">
        <v>8</v>
      </c>
      <c r="EI20" s="29" t="s">
        <v>8</v>
      </c>
      <c r="EJ20" s="34">
        <f t="shared" si="190"/>
        <v>0.96202404073885428</v>
      </c>
      <c r="EK20" s="32">
        <f t="shared" si="191"/>
        <v>-0.34727950066645552</v>
      </c>
      <c r="EL20" s="33">
        <f t="shared" si="192"/>
        <v>0</v>
      </c>
      <c r="EM20" s="81">
        <f t="shared" si="193"/>
        <v>0</v>
      </c>
      <c r="EN20" s="77" t="s">
        <v>8</v>
      </c>
      <c r="EO20" s="29" t="s">
        <v>8</v>
      </c>
      <c r="EP20" s="34">
        <f t="shared" si="194"/>
        <v>0.96202404073885428</v>
      </c>
      <c r="EQ20" s="32">
        <f t="shared" si="195"/>
        <v>-0.34727950066645552</v>
      </c>
      <c r="ER20" s="33">
        <f t="shared" si="196"/>
        <v>0</v>
      </c>
      <c r="ES20" s="81">
        <f t="shared" si="197"/>
        <v>0</v>
      </c>
      <c r="ET20" s="77" t="s">
        <v>8</v>
      </c>
      <c r="EU20" s="29" t="s">
        <v>8</v>
      </c>
      <c r="EV20" s="34">
        <f t="shared" si="198"/>
        <v>0.96202404073885428</v>
      </c>
      <c r="EW20" s="32">
        <f t="shared" si="199"/>
        <v>-0.34727950066645552</v>
      </c>
      <c r="EX20" s="33">
        <f t="shared" si="200"/>
        <v>0</v>
      </c>
      <c r="EY20" s="81">
        <f t="shared" si="201"/>
        <v>0</v>
      </c>
      <c r="EZ20" s="77" t="s">
        <v>8</v>
      </c>
      <c r="FA20" s="29" t="s">
        <v>8</v>
      </c>
      <c r="FB20" s="34">
        <f t="shared" si="202"/>
        <v>0.96202404073885428</v>
      </c>
      <c r="FC20" s="32">
        <f t="shared" si="203"/>
        <v>-0.34727950066645552</v>
      </c>
      <c r="FD20" s="33">
        <f t="shared" si="204"/>
        <v>0</v>
      </c>
      <c r="FE20" s="81">
        <f t="shared" si="205"/>
        <v>0</v>
      </c>
      <c r="FF20" s="77" t="s">
        <v>8</v>
      </c>
      <c r="FG20" s="29" t="s">
        <v>8</v>
      </c>
      <c r="FH20" s="34">
        <f t="shared" si="206"/>
        <v>0.96202404073885428</v>
      </c>
      <c r="FI20" s="32">
        <f t="shared" si="207"/>
        <v>-0.34727950066645552</v>
      </c>
      <c r="FJ20" s="33">
        <f t="shared" si="208"/>
        <v>0</v>
      </c>
      <c r="FK20" s="81">
        <f t="shared" si="209"/>
        <v>0</v>
      </c>
      <c r="FL20" s="77" t="s">
        <v>8</v>
      </c>
      <c r="FM20" s="29" t="s">
        <v>8</v>
      </c>
      <c r="FN20" s="34">
        <f t="shared" si="210"/>
        <v>0.96202404073885428</v>
      </c>
      <c r="FO20" s="32">
        <f t="shared" si="211"/>
        <v>-0.34727950066645552</v>
      </c>
      <c r="FP20" s="33">
        <f t="shared" si="212"/>
        <v>0</v>
      </c>
      <c r="FQ20" s="81">
        <f t="shared" si="213"/>
        <v>0</v>
      </c>
      <c r="FR20" s="77" t="s">
        <v>8</v>
      </c>
      <c r="FS20" s="29" t="s">
        <v>8</v>
      </c>
      <c r="FT20" s="34">
        <f t="shared" si="214"/>
        <v>0.96202404073885428</v>
      </c>
      <c r="FU20" s="32">
        <f t="shared" si="215"/>
        <v>-0.34727950066645552</v>
      </c>
      <c r="FV20" s="33">
        <f t="shared" si="216"/>
        <v>0</v>
      </c>
      <c r="FW20" s="81">
        <f t="shared" si="217"/>
        <v>0</v>
      </c>
      <c r="FX20" s="77" t="s">
        <v>8</v>
      </c>
      <c r="FY20" s="29" t="s">
        <v>8</v>
      </c>
      <c r="FZ20" s="34">
        <f t="shared" si="218"/>
        <v>0.96202404073885428</v>
      </c>
      <c r="GA20" s="32">
        <f t="shared" si="219"/>
        <v>-0.34727950066645552</v>
      </c>
      <c r="GB20" s="33">
        <f t="shared" si="220"/>
        <v>0</v>
      </c>
      <c r="GC20" s="81">
        <f t="shared" si="221"/>
        <v>0</v>
      </c>
      <c r="GD20" s="77" t="s">
        <v>8</v>
      </c>
      <c r="GE20" s="29" t="s">
        <v>8</v>
      </c>
      <c r="GF20" s="34">
        <f t="shared" si="222"/>
        <v>0.96202404073885428</v>
      </c>
      <c r="GG20" s="32">
        <f t="shared" si="223"/>
        <v>-0.34727950066645552</v>
      </c>
      <c r="GH20" s="33">
        <f t="shared" si="224"/>
        <v>0</v>
      </c>
      <c r="GI20" s="132">
        <f t="shared" si="225"/>
        <v>0</v>
      </c>
      <c r="GJ20" s="182">
        <f t="shared" si="228"/>
        <v>0</v>
      </c>
      <c r="GK20" s="186">
        <f t="shared" si="226"/>
        <v>820803.18437102216</v>
      </c>
      <c r="GL20" s="179">
        <f t="shared" si="227"/>
        <v>0.96202404073885417</v>
      </c>
      <c r="GN20" s="184">
        <v>820803.18</v>
      </c>
    </row>
    <row r="21" spans="1:196" s="28" customFormat="1" ht="31.2" customHeight="1" thickBot="1" x14ac:dyDescent="0.35">
      <c r="A21" s="105" t="s">
        <v>6</v>
      </c>
      <c r="B21" s="129">
        <v>30541789</v>
      </c>
      <c r="C21" s="175">
        <v>10</v>
      </c>
      <c r="D21" s="82">
        <f>B21*C21/100</f>
        <v>3054178.9</v>
      </c>
      <c r="E21" s="112">
        <f>100-C21</f>
        <v>90</v>
      </c>
      <c r="F21" s="82">
        <f>B21-D21</f>
        <v>27487610.100000001</v>
      </c>
      <c r="G21" s="111">
        <f>SUM(G9:G20)</f>
        <v>18069</v>
      </c>
      <c r="H21" s="111">
        <f>SUM(H9:H20)</f>
        <v>25740417</v>
      </c>
      <c r="I21" s="46" t="s">
        <v>8</v>
      </c>
      <c r="J21" s="163">
        <f>H21/G21</f>
        <v>1424.5623443466711</v>
      </c>
      <c r="K21" s="122" t="s">
        <v>8</v>
      </c>
      <c r="L21" s="79">
        <f>SUM(L9:L20)</f>
        <v>3054178.8999999994</v>
      </c>
      <c r="M21" s="75" t="s">
        <v>8</v>
      </c>
      <c r="N21" s="47">
        <f>(SUMIF(M9:M20,"&lt;1")+1)/(COUNTIFS(M9:M20,"&lt;1")+1)</f>
        <v>0.34417856937404212</v>
      </c>
      <c r="O21" s="48" t="s">
        <v>8</v>
      </c>
      <c r="P21" s="45">
        <f>SUM(P9:P20)</f>
        <v>10735525.230703536</v>
      </c>
      <c r="Q21" s="45">
        <f>SUM(Q9:Q20)</f>
        <v>10735525.230703536</v>
      </c>
      <c r="R21" s="84">
        <f>F21-Q21</f>
        <v>16752084.869296465</v>
      </c>
      <c r="S21" s="47">
        <f>(SUMIF(T9:T20,"&lt;1")+1)/(COUNTIFS(T9:T20,"&lt;1")+1)</f>
        <v>0.45377790478744195</v>
      </c>
      <c r="T21" s="48" t="s">
        <v>8</v>
      </c>
      <c r="U21" s="48" t="s">
        <v>8</v>
      </c>
      <c r="V21" s="45">
        <f>SUM(V9:V20)</f>
        <v>13002528.042452209</v>
      </c>
      <c r="W21" s="45">
        <f>SUM(W9:W20)</f>
        <v>13002528.042452209</v>
      </c>
      <c r="X21" s="84">
        <f>R21-W21</f>
        <v>3749556.8268442564</v>
      </c>
      <c r="Y21" s="47">
        <f>(SUMIF(Z9:Z20,"&lt;1")+1)/(COUNTIFS(Z9:Z20,"&lt;1")+1)</f>
        <v>0.57834482137681387</v>
      </c>
      <c r="Z21" s="48" t="s">
        <v>8</v>
      </c>
      <c r="AA21" s="48" t="s">
        <v>8</v>
      </c>
      <c r="AB21" s="45">
        <f>SUM(AB9:AB20)</f>
        <v>13023524.574077582</v>
      </c>
      <c r="AC21" s="45">
        <f>SUM(AC9:AC20)</f>
        <v>3749556.8268442564</v>
      </c>
      <c r="AD21" s="84">
        <f>X21-AC21</f>
        <v>0</v>
      </c>
      <c r="AE21" s="47">
        <f>(SUMIF(AF9:AF20,"&lt;1")+1)/(COUNTIFS(AF9:AF20,"&lt;1")+1)</f>
        <v>0.61474454007239876</v>
      </c>
      <c r="AF21" s="48" t="s">
        <v>8</v>
      </c>
      <c r="AG21" s="48" t="s">
        <v>8</v>
      </c>
      <c r="AH21" s="45">
        <f>SUM(AH9:AH20)</f>
        <v>12729849.399916409</v>
      </c>
      <c r="AI21" s="45">
        <f>SUM(AI9:AI20)</f>
        <v>0</v>
      </c>
      <c r="AJ21" s="84">
        <f>AD21-AI21</f>
        <v>0</v>
      </c>
      <c r="AK21" s="47">
        <f>(SUMIF(AL9:AL20,"&lt;1")+1)/(COUNTIFS(AL9:AL20,"&lt;1")+1)</f>
        <v>0.61474454007239876</v>
      </c>
      <c r="AL21" s="48" t="s">
        <v>8</v>
      </c>
      <c r="AM21" s="48" t="s">
        <v>8</v>
      </c>
      <c r="AN21" s="45">
        <f>SUM(AN9:AN20)</f>
        <v>12729849.399916409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0.61474454007239876</v>
      </c>
      <c r="AR21" s="48" t="s">
        <v>8</v>
      </c>
      <c r="AS21" s="48" t="s">
        <v>8</v>
      </c>
      <c r="AT21" s="45">
        <f>SUM(AT9:AT20)</f>
        <v>12729849.399916409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0.61474454007239876</v>
      </c>
      <c r="AX21" s="48" t="s">
        <v>8</v>
      </c>
      <c r="AY21" s="48" t="s">
        <v>8</v>
      </c>
      <c r="AZ21" s="45">
        <f>SUM(AZ9:AZ20)</f>
        <v>12729849.399916409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0.61474454007239876</v>
      </c>
      <c r="BD21" s="48" t="s">
        <v>8</v>
      </c>
      <c r="BE21" s="48" t="s">
        <v>8</v>
      </c>
      <c r="BF21" s="45">
        <f>SUM(BF9:BF20)</f>
        <v>12729849.399916409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0.61474454007239876</v>
      </c>
      <c r="BJ21" s="48" t="s">
        <v>8</v>
      </c>
      <c r="BK21" s="48" t="s">
        <v>8</v>
      </c>
      <c r="BL21" s="45">
        <f>SUM(BL9:BL20)</f>
        <v>12729849.399916409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0.61474454007239876</v>
      </c>
      <c r="BP21" s="48" t="s">
        <v>8</v>
      </c>
      <c r="BQ21" s="48" t="s">
        <v>8</v>
      </c>
      <c r="BR21" s="45">
        <f>SUM(BR9:BR20)</f>
        <v>12729849.399916409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0.61474454007239876</v>
      </c>
      <c r="BV21" s="48" t="s">
        <v>8</v>
      </c>
      <c r="BW21" s="48" t="s">
        <v>8</v>
      </c>
      <c r="BX21" s="45">
        <f>SUM(BX9:BX20)</f>
        <v>12729849.399916409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0.61474454007239876</v>
      </c>
      <c r="CB21" s="48" t="s">
        <v>8</v>
      </c>
      <c r="CC21" s="48" t="s">
        <v>8</v>
      </c>
      <c r="CD21" s="45">
        <f>SUM(CD9:CD20)</f>
        <v>12729849.399916409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0.61474454007239876</v>
      </c>
      <c r="CH21" s="48" t="s">
        <v>8</v>
      </c>
      <c r="CI21" s="48" t="s">
        <v>8</v>
      </c>
      <c r="CJ21" s="45">
        <f>SUM(CJ9:CJ20)</f>
        <v>12729849.399916409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0.61474454007239876</v>
      </c>
      <c r="CN21" s="48" t="s">
        <v>8</v>
      </c>
      <c r="CO21" s="48" t="s">
        <v>8</v>
      </c>
      <c r="CP21" s="45">
        <f>SUM(CP9:CP20)</f>
        <v>12729849.399916409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0.61474454007239876</v>
      </c>
      <c r="CT21" s="48" t="s">
        <v>8</v>
      </c>
      <c r="CU21" s="48" t="s">
        <v>8</v>
      </c>
      <c r="CV21" s="45">
        <f>SUM(CV9:CV20)</f>
        <v>12729849.399916409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0.61474454007239876</v>
      </c>
      <c r="CZ21" s="48" t="s">
        <v>8</v>
      </c>
      <c r="DA21" s="48" t="s">
        <v>8</v>
      </c>
      <c r="DB21" s="45">
        <f>SUM(DB9:DB20)</f>
        <v>12729849.399916409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0.61474454007239876</v>
      </c>
      <c r="DF21" s="48" t="s">
        <v>8</v>
      </c>
      <c r="DG21" s="48" t="s">
        <v>8</v>
      </c>
      <c r="DH21" s="45">
        <f>SUM(DH9:DH20)</f>
        <v>12729849.399916409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0.61474454007239876</v>
      </c>
      <c r="DL21" s="48" t="s">
        <v>8</v>
      </c>
      <c r="DM21" s="48" t="s">
        <v>8</v>
      </c>
      <c r="DN21" s="45">
        <f>SUM(DN9:DN20)</f>
        <v>12729849.399916409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0.61474454007239876</v>
      </c>
      <c r="DR21" s="48" t="s">
        <v>8</v>
      </c>
      <c r="DS21" s="48" t="s">
        <v>8</v>
      </c>
      <c r="DT21" s="45">
        <f>SUM(DT9:DT20)</f>
        <v>12729849.399916409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0.61474454007239876</v>
      </c>
      <c r="DX21" s="48" t="s">
        <v>8</v>
      </c>
      <c r="DY21" s="48" t="s">
        <v>8</v>
      </c>
      <c r="DZ21" s="145">
        <f>SUM(DZ9:DZ20)</f>
        <v>12729849.399916409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0.61474454007239876</v>
      </c>
      <c r="ED21" s="48" t="s">
        <v>8</v>
      </c>
      <c r="EE21" s="48" t="s">
        <v>8</v>
      </c>
      <c r="EF21" s="145">
        <f>SUM(EF9:EF20)</f>
        <v>12729849.399916409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0.61474454007239876</v>
      </c>
      <c r="EJ21" s="48" t="s">
        <v>8</v>
      </c>
      <c r="EK21" s="48" t="s">
        <v>8</v>
      </c>
      <c r="EL21" s="145">
        <f>SUM(EL9:EL20)</f>
        <v>12729849.399916409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0.61474454007239876</v>
      </c>
      <c r="EP21" s="48" t="s">
        <v>8</v>
      </c>
      <c r="EQ21" s="48" t="s">
        <v>8</v>
      </c>
      <c r="ER21" s="145">
        <f>SUM(ER9:ER20)</f>
        <v>12729849.399916409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0.61474454007239876</v>
      </c>
      <c r="EV21" s="48" t="s">
        <v>8</v>
      </c>
      <c r="EW21" s="48" t="s">
        <v>8</v>
      </c>
      <c r="EX21" s="145">
        <f>SUM(EX9:EX20)</f>
        <v>12729849.399916409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0.61474454007239876</v>
      </c>
      <c r="FB21" s="48" t="s">
        <v>8</v>
      </c>
      <c r="FC21" s="48" t="s">
        <v>8</v>
      </c>
      <c r="FD21" s="145">
        <f>SUM(FD9:FD20)</f>
        <v>12729849.399916409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0.61474454007239876</v>
      </c>
      <c r="FH21" s="48" t="s">
        <v>8</v>
      </c>
      <c r="FI21" s="48" t="s">
        <v>8</v>
      </c>
      <c r="FJ21" s="145">
        <f>SUM(FJ9:FJ20)</f>
        <v>12729849.399916409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0.61474454007239876</v>
      </c>
      <c r="FN21" s="48" t="s">
        <v>8</v>
      </c>
      <c r="FO21" s="48" t="s">
        <v>8</v>
      </c>
      <c r="FP21" s="145">
        <f>SUM(FP9:FP20)</f>
        <v>12729849.399916409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0.61474454007239876</v>
      </c>
      <c r="FT21" s="48" t="s">
        <v>8</v>
      </c>
      <c r="FU21" s="48" t="s">
        <v>8</v>
      </c>
      <c r="FV21" s="145">
        <f>SUM(FV9:FV20)</f>
        <v>12729849.399916409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0.61474454007239876</v>
      </c>
      <c r="FZ21" s="48" t="s">
        <v>8</v>
      </c>
      <c r="GA21" s="48" t="s">
        <v>8</v>
      </c>
      <c r="GB21" s="145">
        <f>SUM(GB9:GB20)</f>
        <v>12729849.399916409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0.61474454007239876</v>
      </c>
      <c r="GF21" s="48" t="s">
        <v>8</v>
      </c>
      <c r="GG21" s="48" t="s">
        <v>8</v>
      </c>
      <c r="GH21" s="145">
        <f>SUM(GH9:GH20)</f>
        <v>12729849.399916409</v>
      </c>
      <c r="GI21" s="45">
        <f>SUM(GI9:GI20)</f>
        <v>0</v>
      </c>
      <c r="GJ21" s="183">
        <f>SUM(GJ9:GJ20)</f>
        <v>27487610.100000005</v>
      </c>
      <c r="GK21" s="187">
        <f t="shared" si="226"/>
        <v>30541789.000000004</v>
      </c>
      <c r="GL21" s="180" t="s">
        <v>8</v>
      </c>
      <c r="GN21" s="184">
        <f>SUM(GN9:GN20)</f>
        <v>30541789</v>
      </c>
    </row>
    <row r="23" spans="1:196" x14ac:dyDescent="0.25">
      <c r="P23" s="23"/>
    </row>
    <row r="24" spans="1:196" x14ac:dyDescent="0.25">
      <c r="AQ24" s="133"/>
    </row>
    <row r="25" spans="1:196" x14ac:dyDescent="0.25">
      <c r="AQ25" s="133"/>
      <c r="GJ25" s="133"/>
      <c r="GK25" s="133"/>
    </row>
    <row r="26" spans="1:196" x14ac:dyDescent="0.25">
      <c r="M26" s="22"/>
    </row>
  </sheetData>
  <protectedRanges>
    <protectedRange sqref="A9:A20" name="Диапазон3_1"/>
    <protectedRange sqref="A9:A20" name="Диапазон2_1"/>
  </protectedRanges>
  <mergeCells count="48"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559055118110237" right="0.15748031496062992" top="0.98425196850393704" bottom="0.15748031496062992" header="0.74803149606299213" footer="0.2362204724409449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2024-11-14T05:05:33Z</cp:lastPrinted>
  <dcterms:created xsi:type="dcterms:W3CDTF">2013-11-15T09:40:24Z</dcterms:created>
  <dcterms:modified xsi:type="dcterms:W3CDTF">2024-11-14T05:05:35Z</dcterms:modified>
</cp:coreProperties>
</file>