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refMode="R1C1"/>
</workbook>
</file>

<file path=xl/calcChain.xml><?xml version="1.0" encoding="utf-8"?>
<calcChain xmlns="http://schemas.openxmlformats.org/spreadsheetml/2006/main">
  <c r="F18" i="2" l="1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J21" i="4" s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20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<sst xmlns="http://schemas.openxmlformats.org/spreadsheetml/2006/main" count="1513" uniqueCount="211">
  <si>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</si>
  <si>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</si>
  <si>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</si>
  <si>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</si>
  <si>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</si>
  <si>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</si>
  <si>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</si>
  <si>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</si>
  <si>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</si>
  <si>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</si>
  <si>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</si>
  <si>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</si>
  <si>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</si>
  <si>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</si>
  <si>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</si>
  <si>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</si>
  <si>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</si>
  <si>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</si>
  <si>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</si>
  <si>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</si>
  <si>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</si>
  <si>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</si>
  <si>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</si>
  <si>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</si>
  <si>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</si>
  <si>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</si>
  <si>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</si>
  <si>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</si>
  <si>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</si>
  <si>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</si>
  <si>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</si>
  <si>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</si>
  <si>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</si>
  <si>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</si>
  <si>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</si>
  <si>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</si>
  <si>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</si>
  <si>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</si>
  <si>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</si>
  <si>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</si>
  <si>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</si>
  <si>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</si>
  <si>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</si>
  <si>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</si>
  <si>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</si>
  <si>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</si>
  <si>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</si>
  <si>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</si>
  <si>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</si>
  <si>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</si>
  <si>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</si>
  <si>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</si>
  <si>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</si>
  <si>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</si>
  <si>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</si>
  <si>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</si>
  <si>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</si>
  <si>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</si>
  <si>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</si>
  <si>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</si>
  <si>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</si>
  <si>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</si>
  <si>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</si>
  <si>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</si>
  <si>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</si>
  <si>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</si>
  <si>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</si>
  <si>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</si>
  <si>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</si>
  <si>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</si>
  <si>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</si>
  <si>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</si>
  <si>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</si>
  <si>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</si>
  <si>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</si>
  <si>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</si>
  <si>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</si>
  <si>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</si>
  <si>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</si>
  <si>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</si>
  <si>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</si>
  <si>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</si>
  <si>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</si>
  <si>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</si>
  <si>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</si>
  <si>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</si>
  <si>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</si>
  <si>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</si>
  <si>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</si>
  <si>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</si>
  <si>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</si>
  <si>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</si>
  <si>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</si>
  <si>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</si>
  <si>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</si>
  <si>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</si>
  <si>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</si>
  <si>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</si>
  <si>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</si>
  <si>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</si>
  <si>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</si>
  <si>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</si>
  <si>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</si>
  <si>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</si>
  <si>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</si>
  <si>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</si>
  <si>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</si>
  <si>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</si>
  <si>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</si>
  <si>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</si>
  <si>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</si>
  <si>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</si>
  <si>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</si>
  <si>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</si>
  <si>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</si>
  <si>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</si>
  <si>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</si>
  <si>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</si>
  <si>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</si>
  <si>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</si>
  <si>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</si>
  <si>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</si>
  <si>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</si>
  <si>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</si>
  <si>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</si>
  <si>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</si>
  <si>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</si>
  <si>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</si>
  <si>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</si>
  <si>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</si>
  <si>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</si>
  <si>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</si>
  <si>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</si>
  <si>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</si>
  <si>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</si>
  <si>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</si>
  <si>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</si>
  <si>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</si>
  <si>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</si>
  <si>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</si>
  <si>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</si>
  <si>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</si>
  <si>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</si>
  <si>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</si>
  <si>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</si>
  <si>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</si>
  <si>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</si>
  <si>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</si>
  <si>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</si>
  <si>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</si>
  <si>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</si>
  <si>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</si>
  <si>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</si>
  <si>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</si>
  <si>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</si>
  <si>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</si>
  <si>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</si>
  <si>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</si>
  <si>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</si>
  <si>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</si>
  <si>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</si>
  <si>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</si>
  <si>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</si>
  <si>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</si>
  <si>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</si>
  <si>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</si>
  <si>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</si>
  <si>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</si>
  <si>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</si>
  <si>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</si>
  <si>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</si>
  <si>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</si>
  <si>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</si>
  <si>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</si>
  <si>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</si>
  <si>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</si>
  <si>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</si>
  <si>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</si>
  <si>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</si>
  <si>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</si>
  <si>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</si>
  <si>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</si>
  <si>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</si>
  <si>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</si>
  <si>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</si>
  <si>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</si>
  <si>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</si>
  <si>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</si>
  <si>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</si>
  <si>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</si>
  <si>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</si>
  <si>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</si>
  <si>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</si>
  <si>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</si>
  <si>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</si>
  <si>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</si>
  <si>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</si>
  <si>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</si>
  <si>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</si>
  <si>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</si>
  <si>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</si>
  <si>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</si>
  <si>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</si>
  <si>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01.01.2023</t>
  </si>
  <si>
    <t>Общая площадь земель на 01.01.2023</t>
  </si>
  <si>
    <t>Наружный строительный объем отапливаемых зданий на 01.01.2023</t>
  </si>
  <si>
    <t>Различия поселений Омской области по количеству населенных пунктов на 01.01.2023</t>
  </si>
  <si>
    <t>Расстояние от районного центра на 01.01.2023</t>
  </si>
  <si>
    <t>2025 год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</si>
  <si>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2025 год</t>
  </si>
  <si>
    <t>2891041, 09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</si>
</sst>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5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167" fontId="21" fillId="47" borderId="25" xfId="0" applyNumberFormat="1" applyFont="1" applyFill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174" fontId="21" fillId="47" borderId="35" xfId="0" applyNumberFormat="1" applyFont="1" applyFill="1" applyBorder="1" applyAlignment="1">
      <alignment vertical="center"/>
    </xf>
    <xf numFmtId="174" fontId="21" fillId="47" borderId="11" xfId="0" applyNumberFormat="1" applyFont="1" applyFill="1" applyBorder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zoomScale="75" zoomScaleNormal="90" zoomScaleSheetLayoutView="75" workbookViewId="0">
      <selection activeCell="F22" sqref="F22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7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3" t="s">
        <v>75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s="4" customFormat="1" ht="16.8" x14ac:dyDescent="0.25">
      <c r="B3" s="186"/>
      <c r="C3" s="186"/>
      <c r="D3" s="186"/>
      <c r="E3" s="186"/>
      <c r="F3" s="186"/>
      <c r="G3" s="186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0" t="s">
        <v>0</v>
      </c>
      <c r="B5" s="187" t="s">
        <v>7</v>
      </c>
      <c r="C5" s="190" t="s">
        <v>56</v>
      </c>
      <c r="D5" s="191"/>
      <c r="E5" s="191"/>
      <c r="F5" s="191"/>
      <c r="G5" s="191"/>
      <c r="H5" s="191"/>
      <c r="I5" s="191"/>
      <c r="J5" s="192"/>
    </row>
    <row r="6" spans="1:10" s="7" customFormat="1" ht="51.75" customHeight="1" x14ac:dyDescent="0.25">
      <c r="A6" s="201"/>
      <c r="B6" s="188"/>
      <c r="C6" s="95" t="s">
        <v>199</v>
      </c>
      <c r="D6" s="95" t="s">
        <v>62</v>
      </c>
      <c r="E6" s="194" t="s">
        <v>73</v>
      </c>
      <c r="F6" s="195"/>
      <c r="G6" s="195"/>
      <c r="H6" s="195"/>
      <c r="I6" s="195"/>
      <c r="J6" s="196"/>
    </row>
    <row r="7" spans="1:10" s="7" customFormat="1" ht="38.4" customHeight="1" thickBot="1" x14ac:dyDescent="0.3">
      <c r="A7" s="201"/>
      <c r="B7" s="188"/>
      <c r="C7" s="96" t="s">
        <v>203</v>
      </c>
      <c r="D7" s="98" t="s">
        <v>208</v>
      </c>
      <c r="E7" s="197"/>
      <c r="F7" s="198"/>
      <c r="G7" s="198"/>
      <c r="H7" s="198"/>
      <c r="I7" s="198"/>
      <c r="J7" s="199"/>
    </row>
    <row r="8" spans="1:10" s="7" customFormat="1" ht="93.6" customHeight="1" thickBot="1" x14ac:dyDescent="0.3">
      <c r="A8" s="201"/>
      <c r="B8" s="189"/>
      <c r="C8" s="97" t="s">
        <v>1</v>
      </c>
      <c r="D8" s="97" t="s">
        <v>2</v>
      </c>
      <c r="E8" s="99" t="s">
        <v>204</v>
      </c>
      <c r="F8" s="100" t="s">
        <v>205</v>
      </c>
      <c r="G8" s="177" t="s">
        <v>206</v>
      </c>
      <c r="H8" s="100" t="s">
        <v>207</v>
      </c>
      <c r="I8" s="100" t="s">
        <v>71</v>
      </c>
      <c r="J8" s="101" t="s">
        <v>71</v>
      </c>
    </row>
    <row r="9" spans="1:10" s="8" customFormat="1" ht="24.6" thickBot="1" x14ac:dyDescent="0.3">
      <c r="A9" s="202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72" t="s">
        <v>176</v>
      </c>
      <c r="C11" s="173">
        <v>2030</v>
      </c>
      <c r="D11" s="173">
        <v>2870069.34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72" t="s">
        <v>177</v>
      </c>
      <c r="C12" s="174">
        <v>1370</v>
      </c>
      <c r="D12" s="174">
        <v>1139206.48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72" t="s">
        <v>178</v>
      </c>
      <c r="C13" s="174">
        <v>715</v>
      </c>
      <c r="D13" s="174">
        <v>519753.79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72" t="s">
        <v>179</v>
      </c>
      <c r="C14" s="174">
        <v>1591</v>
      </c>
      <c r="D14" s="174">
        <v>1540912.77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72" t="s">
        <v>180</v>
      </c>
      <c r="C15" s="174">
        <v>1274</v>
      </c>
      <c r="D15" s="174">
        <v>1190148.8400000001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72" t="s">
        <v>181</v>
      </c>
      <c r="C16" s="174">
        <v>1321</v>
      </c>
      <c r="D16" s="174">
        <v>1115602.82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72" t="s">
        <v>182</v>
      </c>
      <c r="C17" s="174">
        <v>1299</v>
      </c>
      <c r="D17" s="174">
        <v>2023657.38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72" t="s">
        <v>183</v>
      </c>
      <c r="C18" s="174">
        <v>745</v>
      </c>
      <c r="D18" s="174">
        <v>875306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72" t="s">
        <v>184</v>
      </c>
      <c r="C19" s="174">
        <v>484</v>
      </c>
      <c r="D19" s="174">
        <v>550167.4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72" t="s">
        <v>185</v>
      </c>
      <c r="C20" s="174">
        <v>1057</v>
      </c>
      <c r="D20" s="174">
        <v>1657525.1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72" t="s">
        <v>186</v>
      </c>
      <c r="C21" s="174">
        <v>1601</v>
      </c>
      <c r="D21" s="174">
        <v>1848415.89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72" t="s">
        <v>187</v>
      </c>
      <c r="C22" s="174">
        <v>4874</v>
      </c>
      <c r="D22" s="174">
        <v>4911575.58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18361</v>
      </c>
      <c r="D23" s="21">
        <f>SUM(D11:D22)</f>
        <v>20242341.390000001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4"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3" t="s">
        <v>63</v>
      </c>
      <c r="B2" s="203"/>
      <c r="C2" s="203"/>
      <c r="D2" s="203"/>
      <c r="E2" s="203"/>
      <c r="F2" s="203"/>
      <c r="G2" s="203"/>
    </row>
    <row r="3" spans="1:8" ht="16.2" thickBot="1" x14ac:dyDescent="0.3">
      <c r="B3" s="12"/>
    </row>
    <row r="4" spans="1:8" s="7" customFormat="1" ht="50.25" customHeight="1" thickBot="1" x14ac:dyDescent="0.3">
      <c r="A4" s="204" t="s">
        <v>0</v>
      </c>
      <c r="B4" s="204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06" t="s">
        <v>201</v>
      </c>
    </row>
    <row r="5" spans="1:8" s="13" customFormat="1" ht="190.2" customHeight="1" thickBot="1" x14ac:dyDescent="0.3">
      <c r="A5" s="205"/>
      <c r="B5" s="205"/>
      <c r="C5" s="88" t="s">
        <v>202</v>
      </c>
      <c r="D5" s="88" t="s">
        <v>191</v>
      </c>
      <c r="E5" s="88" t="s">
        <v>195</v>
      </c>
      <c r="F5" s="90" t="s">
        <v>192</v>
      </c>
      <c r="G5" s="207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1.7942244637174976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1.5950897604145413</v>
      </c>
      <c r="E7" s="143">
        <f>(1+'Исходные данные'!G11/SUM('Исходные данные'!$G$11:$G$22))/(1+'Исходные данные'!C11/'Исходные данные'!$C$23)</f>
        <v>0.97548346492733706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4.0917277623826784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1.8049186443061178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1.7195436704641898</v>
      </c>
      <c r="E8" s="143">
        <f>(1+'Исходные данные'!G12/SUM('Исходные данные'!$G$11:$G$22))/(1+'Исходные данные'!C12/'Исходные данные'!$C$23)</f>
        <v>1.0275000844694473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3.5420110518481902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1.7784843798709118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1.0026232788145664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5.4306622858022369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1.8096022285144544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1.5675480159957655</v>
      </c>
      <c r="E10" s="143">
        <f>(1+'Исходные данные'!G14/SUM('Исходные данные'!$G$11:$G$22))/(1+'Исходные данные'!C14/'Исходные данные'!$C$23)</f>
        <v>1.0544630028735631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3.8806208490326481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1.7602264262437728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1.9420218376274199</v>
      </c>
      <c r="E11" s="143">
        <f>(1+'Исходные данные'!G15/SUM('Исходные данные'!$G$11:$G$22))/(1+'Исходные данные'!C15/'Исходные данные'!$C$23)</f>
        <v>1.0130421865715984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5.7873838925462566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1.773725756277462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1.6856394661909588</v>
      </c>
      <c r="E12" s="143">
        <f>(1+'Исходные данные'!G16/SUM('Исходные данные'!$G$11:$G$22))/(1+'Исходные данные'!C16/'Исходные данные'!$C$23)</f>
        <v>0.99118801442942794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4.7386662394138579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1.7978763395687263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1.9323662750507204</v>
      </c>
      <c r="E13" s="143">
        <f>(1+'Исходные данные'!G17/SUM('Исходные данные'!$G$11:$G$22))/(1+'Исходные данные'!C17/'Исходные данные'!$C$23)</f>
        <v>1.0506675991861647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6.0161405854838277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1.8268644000843175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1.9915550122089876</v>
      </c>
      <c r="E14" s="143">
        <f>(1+'Исходные данные'!G18/SUM('Исходные данные'!$G$11:$G$22))/(1+'Исходные данные'!C18/'Исходные данные'!$C$23)</f>
        <v>1.0210699518475872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5.5685779631875985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1.8422203264743231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1.8112687399457665</v>
      </c>
      <c r="E15" s="143">
        <f>(1+'Исходные данные'!G19/SUM('Исходные данные'!$G$11:$G$22))/(1+'Исходные данные'!C19/'Исходные данные'!$C$23)</f>
        <v>1.0352115945874238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4.3934702636602818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1.815078658277171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1.7262130759622951</v>
      </c>
      <c r="E16" s="143">
        <f>(1+'Исходные данные'!G20/SUM('Исходные данные'!$G$11:$G$22))/(1+'Исходные данные'!C20/'Исходные данные'!$C$23)</f>
        <v>1.0046638428262438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5.0933908975258628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1.7961602649334112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1.5290638891727033</v>
      </c>
      <c r="E17" s="143">
        <f>(1+'Исходные данные'!G21/SUM('Исходные данные'!$G$11:$G$22))/(1+'Исходные данные'!C21/'Исходные данные'!$C$23)</f>
        <v>1.0347723174030659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4.3435582707686953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1.5251847465197521</v>
      </c>
      <c r="E18" s="143">
        <f>(1+'Исходные данные'!G22/SUM('Исходные данные'!$G$11:$G$22))/(1+'Исходные данные'!C22/'Исходные данные'!$C$23)</f>
        <v>0.82315651674915724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1.2554657633441455</v>
      </c>
    </row>
    <row r="20" spans="1:8" ht="116.25" customHeight="1" x14ac:dyDescent="0.25">
      <c r="A20" s="208" t="s">
        <v>85</v>
      </c>
      <c r="B20" s="208"/>
      <c r="C20" s="208"/>
      <c r="D20" s="208"/>
      <c r="E20" s="208"/>
      <c r="F20" s="208"/>
      <c r="G20" s="208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6"/>
  <sheetViews>
    <sheetView tabSelected="1" topLeftCell="GB4" zoomScale="55" zoomScaleNormal="55" workbookViewId="0">
      <pane xSplit="22236" topLeftCell="CW1"/>
      <selection activeCell="GP18" sqref="GP18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8.5546875" style="16" customWidth="1"/>
    <col min="43" max="43" width="20.3320312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8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6.33203125" style="16" customWidth="1"/>
    <col min="54" max="54" width="18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5" width="15" style="16" customWidth="1"/>
    <col min="186" max="186" width="21.33203125" style="16" customWidth="1"/>
    <col min="187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5" s="17" customFormat="1" ht="22.5" customHeight="1" x14ac:dyDescent="0.25">
      <c r="A1" s="128"/>
      <c r="B1" s="128" t="s">
        <v>209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5" s="5" customFormat="1" ht="16.2" thickBot="1" x14ac:dyDescent="0.3"/>
    <row r="3" spans="1:195" s="35" customFormat="1" ht="34.5" customHeight="1" thickBot="1" x14ac:dyDescent="0.3">
      <c r="A3" s="221" t="s">
        <v>7</v>
      </c>
      <c r="B3" s="224" t="s">
        <v>58</v>
      </c>
      <c r="C3" s="227" t="s">
        <v>9</v>
      </c>
      <c r="D3" s="228"/>
      <c r="E3" s="228"/>
      <c r="F3" s="229"/>
      <c r="G3" s="239" t="s">
        <v>59</v>
      </c>
      <c r="H3" s="240"/>
      <c r="I3" s="240"/>
      <c r="J3" s="241"/>
      <c r="K3" s="247" t="s">
        <v>82</v>
      </c>
      <c r="L3" s="70" t="s">
        <v>51</v>
      </c>
      <c r="M3" s="244" t="s">
        <v>78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6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12" t="s">
        <v>83</v>
      </c>
      <c r="GK3" s="218" t="s">
        <v>84</v>
      </c>
      <c r="GL3" s="215" t="s">
        <v>81</v>
      </c>
    </row>
    <row r="4" spans="1:195" s="25" customFormat="1" ht="29.25" customHeight="1" x14ac:dyDescent="0.25">
      <c r="A4" s="222"/>
      <c r="B4" s="225"/>
      <c r="C4" s="232" t="s">
        <v>10</v>
      </c>
      <c r="D4" s="233"/>
      <c r="E4" s="232" t="s">
        <v>11</v>
      </c>
      <c r="F4" s="233"/>
      <c r="G4" s="235" t="s">
        <v>200</v>
      </c>
      <c r="H4" s="216" t="s">
        <v>12</v>
      </c>
      <c r="I4" s="216" t="s">
        <v>64</v>
      </c>
      <c r="J4" s="242" t="s">
        <v>67</v>
      </c>
      <c r="K4" s="248"/>
      <c r="L4" s="237" t="s">
        <v>79</v>
      </c>
      <c r="M4" s="209" t="s">
        <v>13</v>
      </c>
      <c r="N4" s="210"/>
      <c r="O4" s="210"/>
      <c r="P4" s="210"/>
      <c r="Q4" s="234"/>
      <c r="R4" s="209" t="s">
        <v>14</v>
      </c>
      <c r="S4" s="210"/>
      <c r="T4" s="210"/>
      <c r="U4" s="210"/>
      <c r="V4" s="210"/>
      <c r="W4" s="234"/>
      <c r="X4" s="209" t="s">
        <v>15</v>
      </c>
      <c r="Y4" s="210"/>
      <c r="Z4" s="210"/>
      <c r="AA4" s="210"/>
      <c r="AB4" s="210"/>
      <c r="AC4" s="234"/>
      <c r="AD4" s="209" t="s">
        <v>16</v>
      </c>
      <c r="AE4" s="210"/>
      <c r="AF4" s="210"/>
      <c r="AG4" s="210"/>
      <c r="AH4" s="210"/>
      <c r="AI4" s="234"/>
      <c r="AJ4" s="209" t="s">
        <v>17</v>
      </c>
      <c r="AK4" s="210"/>
      <c r="AL4" s="210"/>
      <c r="AM4" s="210"/>
      <c r="AN4" s="210"/>
      <c r="AO4" s="234"/>
      <c r="AP4" s="209" t="s">
        <v>18</v>
      </c>
      <c r="AQ4" s="210"/>
      <c r="AR4" s="210"/>
      <c r="AS4" s="210"/>
      <c r="AT4" s="210"/>
      <c r="AU4" s="234"/>
      <c r="AV4" s="209" t="s">
        <v>19</v>
      </c>
      <c r="AW4" s="210"/>
      <c r="AX4" s="210"/>
      <c r="AY4" s="210"/>
      <c r="AZ4" s="210"/>
      <c r="BA4" s="234"/>
      <c r="BB4" s="209" t="s">
        <v>20</v>
      </c>
      <c r="BC4" s="210"/>
      <c r="BD4" s="210"/>
      <c r="BE4" s="210"/>
      <c r="BF4" s="210"/>
      <c r="BG4" s="234"/>
      <c r="BH4" s="209" t="s">
        <v>21</v>
      </c>
      <c r="BI4" s="210"/>
      <c r="BJ4" s="210"/>
      <c r="BK4" s="210"/>
      <c r="BL4" s="210"/>
      <c r="BM4" s="234"/>
      <c r="BN4" s="209" t="s">
        <v>22</v>
      </c>
      <c r="BO4" s="210"/>
      <c r="BP4" s="210"/>
      <c r="BQ4" s="210"/>
      <c r="BR4" s="210"/>
      <c r="BS4" s="211"/>
      <c r="BT4" s="209" t="s">
        <v>87</v>
      </c>
      <c r="BU4" s="210"/>
      <c r="BV4" s="210"/>
      <c r="BW4" s="210"/>
      <c r="BX4" s="210"/>
      <c r="BY4" s="211"/>
      <c r="BZ4" s="209" t="s">
        <v>90</v>
      </c>
      <c r="CA4" s="210"/>
      <c r="CB4" s="210"/>
      <c r="CC4" s="210"/>
      <c r="CD4" s="210"/>
      <c r="CE4" s="211"/>
      <c r="CF4" s="209" t="s">
        <v>91</v>
      </c>
      <c r="CG4" s="210"/>
      <c r="CH4" s="210"/>
      <c r="CI4" s="210"/>
      <c r="CJ4" s="210"/>
      <c r="CK4" s="211"/>
      <c r="CL4" s="209" t="s">
        <v>96</v>
      </c>
      <c r="CM4" s="210"/>
      <c r="CN4" s="210"/>
      <c r="CO4" s="210"/>
      <c r="CP4" s="210"/>
      <c r="CQ4" s="211"/>
      <c r="CR4" s="209" t="s">
        <v>99</v>
      </c>
      <c r="CS4" s="210"/>
      <c r="CT4" s="210"/>
      <c r="CU4" s="210"/>
      <c r="CV4" s="210"/>
      <c r="CW4" s="211"/>
      <c r="CX4" s="209" t="s">
        <v>102</v>
      </c>
      <c r="CY4" s="210"/>
      <c r="CZ4" s="210"/>
      <c r="DA4" s="210"/>
      <c r="DB4" s="210"/>
      <c r="DC4" s="211"/>
      <c r="DD4" s="209" t="s">
        <v>105</v>
      </c>
      <c r="DE4" s="210"/>
      <c r="DF4" s="210"/>
      <c r="DG4" s="210"/>
      <c r="DH4" s="210"/>
      <c r="DI4" s="211"/>
      <c r="DJ4" s="209" t="s">
        <v>108</v>
      </c>
      <c r="DK4" s="210"/>
      <c r="DL4" s="210"/>
      <c r="DM4" s="210"/>
      <c r="DN4" s="210"/>
      <c r="DO4" s="211"/>
      <c r="DP4" s="209" t="s">
        <v>111</v>
      </c>
      <c r="DQ4" s="210"/>
      <c r="DR4" s="210"/>
      <c r="DS4" s="210"/>
      <c r="DT4" s="210"/>
      <c r="DU4" s="211"/>
      <c r="DV4" s="209" t="s">
        <v>114</v>
      </c>
      <c r="DW4" s="210"/>
      <c r="DX4" s="210"/>
      <c r="DY4" s="210"/>
      <c r="DZ4" s="210"/>
      <c r="EA4" s="211"/>
      <c r="EB4" s="209" t="s">
        <v>136</v>
      </c>
      <c r="EC4" s="210"/>
      <c r="ED4" s="210"/>
      <c r="EE4" s="210"/>
      <c r="EF4" s="210"/>
      <c r="EG4" s="211"/>
      <c r="EH4" s="209" t="s">
        <v>140</v>
      </c>
      <c r="EI4" s="210"/>
      <c r="EJ4" s="210"/>
      <c r="EK4" s="210"/>
      <c r="EL4" s="210"/>
      <c r="EM4" s="211"/>
      <c r="EN4" s="209" t="s">
        <v>144</v>
      </c>
      <c r="EO4" s="210"/>
      <c r="EP4" s="210"/>
      <c r="EQ4" s="210"/>
      <c r="ER4" s="210"/>
      <c r="ES4" s="211"/>
      <c r="ET4" s="209" t="s">
        <v>148</v>
      </c>
      <c r="EU4" s="210"/>
      <c r="EV4" s="210"/>
      <c r="EW4" s="210"/>
      <c r="EX4" s="210"/>
      <c r="EY4" s="211"/>
      <c r="EZ4" s="209" t="s">
        <v>152</v>
      </c>
      <c r="FA4" s="210"/>
      <c r="FB4" s="210"/>
      <c r="FC4" s="210"/>
      <c r="FD4" s="210"/>
      <c r="FE4" s="211"/>
      <c r="FF4" s="209" t="s">
        <v>156</v>
      </c>
      <c r="FG4" s="210"/>
      <c r="FH4" s="210"/>
      <c r="FI4" s="210"/>
      <c r="FJ4" s="210"/>
      <c r="FK4" s="211"/>
      <c r="FL4" s="209" t="s">
        <v>160</v>
      </c>
      <c r="FM4" s="210"/>
      <c r="FN4" s="210"/>
      <c r="FO4" s="210"/>
      <c r="FP4" s="210"/>
      <c r="FQ4" s="211"/>
      <c r="FR4" s="209" t="s">
        <v>164</v>
      </c>
      <c r="FS4" s="210"/>
      <c r="FT4" s="210"/>
      <c r="FU4" s="210"/>
      <c r="FV4" s="210"/>
      <c r="FW4" s="211"/>
      <c r="FX4" s="209" t="s">
        <v>168</v>
      </c>
      <c r="FY4" s="210"/>
      <c r="FZ4" s="210"/>
      <c r="GA4" s="210"/>
      <c r="GB4" s="210"/>
      <c r="GC4" s="211"/>
      <c r="GD4" s="209" t="s">
        <v>171</v>
      </c>
      <c r="GE4" s="210"/>
      <c r="GF4" s="210"/>
      <c r="GG4" s="210"/>
      <c r="GH4" s="210"/>
      <c r="GI4" s="211"/>
      <c r="GJ4" s="213"/>
      <c r="GK4" s="219"/>
      <c r="GL4" s="215"/>
    </row>
    <row r="5" spans="1:195" s="25" customFormat="1" ht="246" customHeight="1" thickBot="1" x14ac:dyDescent="0.3">
      <c r="A5" s="222"/>
      <c r="B5" s="226"/>
      <c r="C5" s="230" t="s">
        <v>70</v>
      </c>
      <c r="D5" s="231"/>
      <c r="E5" s="230" t="s">
        <v>76</v>
      </c>
      <c r="F5" s="231"/>
      <c r="G5" s="236"/>
      <c r="H5" s="217"/>
      <c r="I5" s="217"/>
      <c r="J5" s="243"/>
      <c r="K5" s="249"/>
      <c r="L5" s="238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14"/>
      <c r="GK5" s="220"/>
      <c r="GL5" s="215"/>
    </row>
    <row r="6" spans="1:195" s="25" customFormat="1" ht="19.2" thickBot="1" x14ac:dyDescent="0.3">
      <c r="A6" s="223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79" t="s">
        <v>77</v>
      </c>
    </row>
    <row r="7" spans="1:195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0">
        <f>GK7+1</f>
        <v>194</v>
      </c>
    </row>
    <row r="8" spans="1:195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1" t="s">
        <v>50</v>
      </c>
    </row>
    <row r="9" spans="1:195" s="24" customFormat="1" ht="16.2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2030</v>
      </c>
      <c r="H9" s="50">
        <f>'Исходные данные'!D11</f>
        <v>2870069.34</v>
      </c>
      <c r="I9" s="51">
        <f>'Расчет КРП'!G7</f>
        <v>4.0917277623826784</v>
      </c>
      <c r="J9" s="116" t="s">
        <v>8</v>
      </c>
      <c r="K9" s="149">
        <f t="shared" ref="K9:K20" si="104">((H9/G9)/($H$21/$G$21))/I9</f>
        <v>0.3134189173974179</v>
      </c>
      <c r="L9" s="150">
        <f t="shared" ref="L9:L20" si="105">$D$21*G9/$G$21</f>
        <v>329469.98398780025</v>
      </c>
      <c r="M9" s="153">
        <f t="shared" ref="M9:M20" si="106">(((H9+L9)/G9)/$J$21)/I9</f>
        <v>0.34939788287300499</v>
      </c>
      <c r="N9" s="154" t="s">
        <v>8</v>
      </c>
      <c r="O9" s="155">
        <f t="shared" ref="O9:O20" si="107">$N$21-M9</f>
        <v>9.9861161563702394E-4</v>
      </c>
      <c r="P9" s="166">
        <f t="shared" ref="P9:P20" si="108">IF(O9&gt;0,G9*I9*(($H$21+$L$21)/$G$21)*O9,0)</f>
        <v>10490.810489555684</v>
      </c>
      <c r="Q9" s="156">
        <f t="shared" ref="Q9:Q20" si="109">IF(($F$21-P$21)&gt;0,P9,$F$21*P9/P$21)</f>
        <v>10490.810489555684</v>
      </c>
      <c r="R9" s="151" t="s">
        <v>8</v>
      </c>
      <c r="S9" s="49" t="s">
        <v>8</v>
      </c>
      <c r="T9" s="53">
        <f t="shared" ref="T9:T20" si="110">(((H9+L9+Q9)/G9)/$J$21)/I9</f>
        <v>0.35054350622796482</v>
      </c>
      <c r="U9" s="52">
        <f t="shared" ref="U9:U20" si="111">S$21-T9</f>
        <v>0.10085435983775382</v>
      </c>
      <c r="V9" s="54">
        <f t="shared" ref="V9:V20" si="112">IF(U9&gt;0,$G9*$I9*(($H$21+$L$21+$Q$21)/$G$21)*U9,0)</f>
        <v>1421924.1945871701</v>
      </c>
      <c r="W9" s="80">
        <f t="shared" ref="W9:W20" si="113">IF((R$21-V$21)&gt;0,V9,R$21*V9/V$21)</f>
        <v>1421924.1945871701</v>
      </c>
      <c r="X9" s="76" t="s">
        <v>8</v>
      </c>
      <c r="Y9" s="49" t="s">
        <v>8</v>
      </c>
      <c r="Z9" s="53">
        <f t="shared" ref="Z9:Z20" si="114">(((H9+L9+Q9+W9)/G9)/$J$21)/I9</f>
        <v>0.50582126745749179</v>
      </c>
      <c r="AA9" s="52">
        <f t="shared" ref="AA9:AA20" si="115">Y$21-Z9</f>
        <v>5.7201981412722813E-2</v>
      </c>
      <c r="AB9" s="54">
        <f t="shared" ref="AB9:AB20" si="116">IF(AA9&gt;0,$G9*$I9*(($H$21+$L$21+$Q$21+$W$21)/$G$21)*AA9,0)</f>
        <v>1046582.8759718562</v>
      </c>
      <c r="AC9" s="80">
        <f t="shared" ref="AC9:AC20" si="117">IF((X$21-AB$21)&gt;0,AB9,X$21*AB9/AB$21)</f>
        <v>1046582.8759718562</v>
      </c>
      <c r="AD9" s="76" t="s">
        <v>8</v>
      </c>
      <c r="AE9" s="49" t="s">
        <v>8</v>
      </c>
      <c r="AF9" s="53">
        <f t="shared" ref="AF9:AF20" si="118">(((H9+L9+Q9+W9+AC9)/G9)/$J$21)/I9</f>
        <v>0.62011079606998698</v>
      </c>
      <c r="AG9" s="52">
        <f t="shared" ref="AG9:AG20" si="119">AE$21-AF9</f>
        <v>5.3458957354522885E-2</v>
      </c>
      <c r="AH9" s="54">
        <f t="shared" ref="AH9:AH20" si="120">IF(AG9&gt;0,$G9*$I9*(($H$21+$L$21+$Q$21+$W$21+$AC$21)/$G$21)*AG9,0)</f>
        <v>1197224.501171327</v>
      </c>
      <c r="AI9" s="80">
        <f t="shared" ref="AI9:AI20" si="121">IF((AD$21-AH$21)&gt;0,AH9,AD$21*AH9/AH$21)</f>
        <v>82573.219627124083</v>
      </c>
      <c r="AJ9" s="76" t="s">
        <v>8</v>
      </c>
      <c r="AK9" s="49" t="s">
        <v>8</v>
      </c>
      <c r="AL9" s="53">
        <f t="shared" ref="AL9:AL20" si="122">(((H9+L9+Q9+W9+AC9+AI9)/G9)/$J$21)/I9</f>
        <v>0.62912800298581451</v>
      </c>
      <c r="AM9" s="52">
        <f t="shared" ref="AM9:AM20" si="123">AK$21-AL9</f>
        <v>5.0905631881747793E-2</v>
      </c>
      <c r="AN9" s="54">
        <f t="shared" ref="AN9:AN20" si="124">IF(AM9&gt;0,$G9*$I9*(($H$21+$L$21+$Q$21+$W$21+$AC$21+$AI$21)/$G$21)*AM9,0)</f>
        <v>1152417.4417026807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0.62912800298581451</v>
      </c>
      <c r="AS9" s="52">
        <f t="shared" ref="AS9:AS20" si="127">AQ$21-AR9</f>
        <v>5.0905631881747793E-2</v>
      </c>
      <c r="AT9" s="54">
        <f t="shared" ref="AT9:AT20" si="128">IF(AS9&gt;0,$G9*$I9*(($H$21+$L$21+$Q$21+$W$21+$AC$21+$AI$21+$AO$21)/$G$21)*AS9,0)</f>
        <v>1152417.4417026807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0.62912800298581451</v>
      </c>
      <c r="AY9" s="52">
        <f t="shared" ref="AY9:AY20" si="131">AW$21-AX9</f>
        <v>5.0905631881747793E-2</v>
      </c>
      <c r="AZ9" s="54">
        <f t="shared" ref="AZ9:AZ20" si="132">IF(AY9&gt;0,$G9*$I9*(($H$21+$L$21+$Q$21+$W$21+$AC$21+$AI$21+$AO$21+$AU$21)/$G$21)*AY9,0)</f>
        <v>1152417.4417026807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0.62912800298581451</v>
      </c>
      <c r="BE9" s="52">
        <f t="shared" ref="BE9:BE20" si="135">BC$21-BD9</f>
        <v>5.0905631881747793E-2</v>
      </c>
      <c r="BF9" s="54">
        <f t="shared" ref="BF9:BF20" si="136">IF(BE9&gt;0,$G9*$I9*(($H$21+$L$21+$Q$21+$W$21+$AC$21+$AI$21+$AO$21+$AU$21+$BA$21)/$G$21)*BE9,0)</f>
        <v>1152417.4417026807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0.62912800298581451</v>
      </c>
      <c r="BK9" s="52">
        <f t="shared" ref="BK9:BK20" si="139">BI$21-BJ9</f>
        <v>5.0905631881747793E-2</v>
      </c>
      <c r="BL9" s="54">
        <f t="shared" ref="BL9:BL20" si="140">IF(BK9&gt;0,$G9*$I9*(($H$21+$L$21+$Q$21+$W$21+$AC$21+$AI$21+$AO$21+$AU$21+$BA$21+$BG$21)/$G$21)*BK9,0)</f>
        <v>1152417.4417026807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0.62912800298581451</v>
      </c>
      <c r="BQ9" s="52">
        <f t="shared" ref="BQ9:BQ20" si="143">BO$21-BP9</f>
        <v>5.0905631881747793E-2</v>
      </c>
      <c r="BR9" s="54">
        <f t="shared" ref="BR9:BR20" si="144">IF(BQ9&gt;0,$G9*$I9*(($H$21+$L$21+$Q$21+$W$21+$AC$21+$AI$21+$AO$21+$AU$21+$BA$21+$BG$21+$BM$21)/$G$21)*BQ9,0)</f>
        <v>1152417.4417026807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0.62912800298581451</v>
      </c>
      <c r="BW9" s="52">
        <f t="shared" ref="BW9:BW20" si="147">BU$21-BV9</f>
        <v>5.0905631881747793E-2</v>
      </c>
      <c r="BX9" s="54">
        <f t="shared" ref="BX9:BX20" si="148">IF(BW9&gt;0,$G9*$I9*(($H$21+$L$21+$Q$21+$W$21+$AC$21+$AI$21+$AO$21+$AU$21+$BA$21+$BG$21+$BM$21+$BS$21)/$G$21)*BW9,0)</f>
        <v>1152417.4417026807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0.62912800298581451</v>
      </c>
      <c r="CC9" s="52">
        <f t="shared" ref="CC9:CC20" si="151">CA$21-CB9</f>
        <v>5.0905631881747793E-2</v>
      </c>
      <c r="CD9" s="54">
        <f t="shared" ref="CD9:CD20" si="152">IF(CC9&gt;0,$G9*$I9*(($H$21+$L$21+$Q$21+$W$21+$AC$21+$AI$21+$AO$21+$AU$21+$BA$21+$BG$21+$BM$21+$BS$21+$BY$21)/$G$21)*CC9,0)</f>
        <v>1152417.4417026807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0.62912800298581451</v>
      </c>
      <c r="CI9" s="52">
        <f t="shared" ref="CI9:CI20" si="155">CG$21-CH9</f>
        <v>5.0905631881747793E-2</v>
      </c>
      <c r="CJ9" s="54">
        <f t="shared" ref="CJ9:CJ20" si="156">IF(CI9&gt;0,$G9*$I9*(($H$21+$L$21+$Q$21+$W$21+$AC$21+$AI$21+$AO$21+$AU$21+$BA$21+$BG$21+$BM$21+$BS$21+$BY$21+$CE$21)/$G$21)*CI9,0)</f>
        <v>1152417.4417026807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0.62912800298581451</v>
      </c>
      <c r="CO9" s="52">
        <f t="shared" ref="CO9:CO20" si="159">CM$21-CN9</f>
        <v>5.0905631881747793E-2</v>
      </c>
      <c r="CP9" s="54">
        <f t="shared" ref="CP9:CP20" si="160">IF(CO9&gt;0,$G9*$I9*(($H$21+$L$21+$Q$21+$W$21+$AC$21+$AI$21+$AO$21+$AU$21+$BA$21+$BG$21+$BM$21+$BS$21+$BY$21+$CE$21+$CK$21)/$G$21)*CO9,0)</f>
        <v>1152417.4417026807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0.62912800298581451</v>
      </c>
      <c r="CU9" s="52">
        <f t="shared" ref="CU9:CU20" si="163">CS$21-CT9</f>
        <v>5.0905631881747793E-2</v>
      </c>
      <c r="CV9" s="54">
        <f t="shared" ref="CV9:CV20" si="164">IF(CU9&gt;0,$G9*$I9*(($H$21+$L$21+$Q$21+$W$21+$AC$21+$AI$21+$AO$21+$AU$21+$BA$21+$BG$21+$BM$21+$BS$21+$BY$21+$CE$21+$CK$21+$CQ$21)/$G$21)*CU9,0)</f>
        <v>1152417.4417026807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0.62912800298581451</v>
      </c>
      <c r="DA9" s="52">
        <f t="shared" ref="DA9:DA20" si="167">CY$21-CZ9</f>
        <v>5.0905631881747793E-2</v>
      </c>
      <c r="DB9" s="54">
        <f t="shared" ref="DB9:DB20" si="168">IF(DA9&gt;0,$G9*$I9*(($H$21+$L$21+$Q$21+$W$21+$AC$21+$AI$21+$AO$21+$AU$21+$BA$21+$BG$21+$BM$21+$BS$21+$BY$21+$CE$21+$CK$21+$CQ$21+$CW$21)/$G$21)*DA9,0)</f>
        <v>1152417.4417026807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0.62912800298581451</v>
      </c>
      <c r="DG9" s="52">
        <f t="shared" ref="DG9:DG20" si="171">DE$21-DF9</f>
        <v>5.0905631881747793E-2</v>
      </c>
      <c r="DH9" s="54">
        <f t="shared" ref="DH9:DH20" si="172">IF(DG9&gt;0,$G9*$I9*(($H$21+$L$21+$Q$21+$W$21+$AC$21+$AI$21+$AO$21+$AU$21+$BA$21+$BG$21+$BM$21+$BS$21+$BY$21+$CE$21+$CK$21+$CQ$21+$CW$21+$DC$21)/$G$21)*DG9,0)</f>
        <v>1152417.4417026807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0.62912800298581451</v>
      </c>
      <c r="DM9" s="52">
        <f t="shared" ref="DM9:DM20" si="175">DK$21-DL9</f>
        <v>5.0905631881747793E-2</v>
      </c>
      <c r="DN9" s="54">
        <f t="shared" ref="DN9:DN20" si="176">IF(DM9&gt;0,$G9*$I9*(($H$21+$L$21+$Q$21+$W$21+$AC$21+$AI$21+$AO$21+$AU$21+$BA$21+$BG$21+$BM$21+$BS$21+$BY$21+$CE$21+$CK$21+$CQ$21+$CW$21+$DC$21+$DI$21)/$G$21)*DM9,0)</f>
        <v>1152417.4417026807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0.62912800298581451</v>
      </c>
      <c r="DS9" s="52">
        <f t="shared" ref="DS9:DS20" si="179">DQ$21-DR9</f>
        <v>5.0905631881747793E-2</v>
      </c>
      <c r="DT9" s="54">
        <f t="shared" ref="DT9:DT20" si="180">IF(DS9&gt;0,$G9*$I9*(($H$21+$L$21+$Q$21+$W$21+$AC$21+$AI$21+$AO$21+$AU$21+$BA$21+$BG$21+$BM$21+$BS$21+$BY$21+$CE$21+$CK$21+$CQ$21+$CW$21+$DC$21+$DI$21+$DO$21)/$G$21)*DS9,0)</f>
        <v>1152417.4417026807</v>
      </c>
      <c r="DU9" s="131">
        <f t="shared" ref="DU9:DU20" si="181">IF((DP$21-DT$21)&gt;0,DT9,DP$21*DT9/DT$21)</f>
        <v>0</v>
      </c>
      <c r="DV9" s="163" t="s">
        <v>8</v>
      </c>
      <c r="DW9" s="154" t="s">
        <v>8</v>
      </c>
      <c r="DX9" s="167">
        <f t="shared" ref="DX9:DX20" si="182">((($H9+$L9+$Q9+$W9+$AC9+$AI9+$AO9+$AU9+$BA9+$BG9+$BM9+$BS9+$BY9+$CE9+$CK9+$CQ9+$CW9+$DC9+$DI9+$DO9+$DU9)/$G9)/$J$21)/$I9</f>
        <v>0.62912800298581451</v>
      </c>
      <c r="DY9" s="155">
        <f t="shared" ref="DY9:DY20" si="183">DW$21-DX9</f>
        <v>5.0905631881747793E-2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1152417.4417026807</v>
      </c>
      <c r="EA9" s="156">
        <f t="shared" ref="EA9:EA20" si="185">IF((DV$21-DZ$21)&gt;0,DZ9,DV$21*DZ9/DZ$21)</f>
        <v>0</v>
      </c>
      <c r="EB9" s="163" t="s">
        <v>8</v>
      </c>
      <c r="EC9" s="154" t="s">
        <v>8</v>
      </c>
      <c r="ED9" s="167">
        <f t="shared" ref="ED9:ED20" si="186">((($H9+$L9+$Q9+$W9+$AC9+$AI9+$AO9+$AU9+$BA9+$BG9+$BM9+$BS9+$BY9+$CE9+$CK9+$CQ9+$CW9+$DC9+$DI9+$DO9+$DU9+$EA9)/$G9)/$J$21)/$I9</f>
        <v>0.62912800298581451</v>
      </c>
      <c r="EE9" s="155">
        <f t="shared" ref="EE9:EE20" si="187">EC$21-ED9</f>
        <v>5.0905631881747793E-2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1152417.4417026807</v>
      </c>
      <c r="EG9" s="156">
        <f t="shared" ref="EG9:EG20" si="189">IF((EB$21-EF$21)&gt;0,EF9,EB$21*EF9/EF$21)</f>
        <v>0</v>
      </c>
      <c r="EH9" s="163" t="s">
        <v>8</v>
      </c>
      <c r="EI9" s="154" t="s">
        <v>8</v>
      </c>
      <c r="EJ9" s="167">
        <f t="shared" ref="EJ9:EJ20" si="190">((($H9+$L9+$Q9+$W9+$AC9+$AI9+$AO9+$AU9+$BA9+$BG9+$BM9+$BS9+$BY9+$CE9+$CK9+$CQ9+$CW9+$DC9+$DI9+$DO9+$DU9+$EA9+$EG9)/$G9)/$J$21)/$I9</f>
        <v>0.62912800298581451</v>
      </c>
      <c r="EK9" s="155">
        <f t="shared" ref="EK9:EK20" si="191">EI$21-EJ9</f>
        <v>5.0905631881747793E-2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1152417.4417026807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8">
        <f t="shared" ref="EP9:EP20" si="194">((($H9+$L9+$Q9+$W9+$AC9+$AI9+$AO9+$AU9+$BA9+$BG9+$BM9+$BS9+$BY9+$CE9+$CK9+$CQ9+$CW9+$DC9+$DI9+$DO9+$DU9+$EA9+$EG9+$EM9)/$G9)/$J$21)/$I9</f>
        <v>0.62912800298581451</v>
      </c>
      <c r="EQ9" s="52">
        <f t="shared" ref="EQ9:EQ20" si="195">EO$21-EP9</f>
        <v>5.0905631881747793E-2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1152417.4417026807</v>
      </c>
      <c r="ES9" s="80">
        <f t="shared" ref="ES9:ES20" si="197">IF((EN$21-ER$21)&gt;0,ER9,EN$21*ER9/ER$21)</f>
        <v>0</v>
      </c>
      <c r="ET9" s="163" t="s">
        <v>8</v>
      </c>
      <c r="EU9" s="154" t="s">
        <v>8</v>
      </c>
      <c r="EV9" s="167">
        <f t="shared" ref="EV9:EV20" si="198">((($H9+$L9+$Q9+$W9+$AC9+$AI9+$AO9+$AU9+$BA9+$BG9+$BM9+$BS9+$BY9+$CE9+$CK9+$CQ9+$CW9+$DC9+$DI9+$DO9+$DU9+$EA9+$EG9+$EM9+$ES9)/$G9)/$J$21)/$I9</f>
        <v>0.62912800298581451</v>
      </c>
      <c r="EW9" s="155">
        <f t="shared" ref="EW9:EW20" si="199">EU$21-EV9</f>
        <v>5.0905631881747793E-2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1152417.4417026807</v>
      </c>
      <c r="EY9" s="156">
        <f t="shared" ref="EY9:EY20" si="201">IF((ET$21-EX$21)&gt;0,EX9,ET$21*EX9/EX$21)</f>
        <v>0</v>
      </c>
      <c r="EZ9" s="163" t="s">
        <v>8</v>
      </c>
      <c r="FA9" s="154" t="s">
        <v>8</v>
      </c>
      <c r="FB9" s="167">
        <f t="shared" ref="FB9:FB20" si="202">((($H9+$L9+$Q9+$W9+$AC9+$AI9+$AO9+$AU9+$BA9+$BG9+$BM9+$BS9+$BY9+$CE9+$CK9+$CQ9+$CW9+$DC9+$DI9+$DO9+$DU9+$EA9+$EG9+$EM9+$ES9+$EY9)/$G9)/$J$21)/$I9</f>
        <v>0.62912800298581451</v>
      </c>
      <c r="FC9" s="155">
        <f t="shared" ref="FC9:FC20" si="203">FA$21-FB9</f>
        <v>5.0905631881747793E-2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1152417.4417026807</v>
      </c>
      <c r="FE9" s="156">
        <f t="shared" ref="FE9:FE20" si="205">IF((EZ$21-FD$21)&gt;0,FD9,EZ$21*FD9/FD$21)</f>
        <v>0</v>
      </c>
      <c r="FF9" s="163" t="s">
        <v>8</v>
      </c>
      <c r="FG9" s="154" t="s">
        <v>8</v>
      </c>
      <c r="FH9" s="167">
        <f t="shared" ref="FH9:FH20" si="206">((($H9+$L9+$Q9+$W9+$AC9+$AI9+$AO9+$AU9+$BA9+$BG9+$BM9+$BS9+$BY9+$CE9+$CK9+$CQ9+$CW9+$DC9+$DI9+$DO9+$DU9+$EA9+$EG9+$EM9+$ES9+$EY9+$FE9)/$G9)/$J$21)/$I9</f>
        <v>0.62912800298581451</v>
      </c>
      <c r="FI9" s="155">
        <f t="shared" ref="FI9:FI20" si="207">FG$21-FH9</f>
        <v>5.0905631881747793E-2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1152417.4417026807</v>
      </c>
      <c r="FK9" s="156">
        <f t="shared" ref="FK9:FK20" si="209">IF((FF$21-FJ$21)&gt;0,FJ9,FF$21*FJ9/FJ$21)</f>
        <v>0</v>
      </c>
      <c r="FL9" s="163" t="s">
        <v>8</v>
      </c>
      <c r="FM9" s="154" t="s">
        <v>8</v>
      </c>
      <c r="FN9" s="167">
        <f t="shared" ref="FN9:FN20" si="210">((($H9+$L9+$Q9+$W9+$AC9+$AI9+$AO9+$AU9+$BA9+$BG9+$BM9+$BS9+$BY9+$CE9+$CK9+$CQ9+$CW9+$DC9+$DI9+$DO9+$DU9+$EA9+$EG9+$EM9+$ES9+$EY9+$FE9+$FK9)/$G9)/$J$21)/$I9</f>
        <v>0.62912800298581451</v>
      </c>
      <c r="FO9" s="155">
        <f t="shared" ref="FO9:FO20" si="211">FM$21-FN9</f>
        <v>5.0905631881747793E-2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1152417.4417026807</v>
      </c>
      <c r="FQ9" s="156">
        <f t="shared" ref="FQ9:FQ20" si="213">IF((FL$21-FP$21)&gt;0,FP9,FL$21*FP9/FP$21)</f>
        <v>0</v>
      </c>
      <c r="FR9" s="163" t="s">
        <v>8</v>
      </c>
      <c r="FS9" s="154" t="s">
        <v>8</v>
      </c>
      <c r="FT9" s="167">
        <f t="shared" ref="FT9:FT20" si="214">((($H9+$L9+$Q9+$W9+$AC9+$AI9+$AO9+$AU9+$BA9+$BG9+$BM9+$BS9+$BY9+$CE9+$CK9+$CQ9+$CW9+$DC9+$DI9+$DO9+$DU9+$EA9+$EG9+$EM9+$ES9+$EY9+$FE9+$FK9+$FQ9)/$G9)/$J$21)/$I9</f>
        <v>0.62912800298581451</v>
      </c>
      <c r="FU9" s="155">
        <f t="shared" ref="FU9:FU20" si="215">FS$21-FT9</f>
        <v>5.0905631881747793E-2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1152417.4417026807</v>
      </c>
      <c r="FW9" s="156">
        <f t="shared" ref="FW9:FW20" si="217">IF((FR$21-FV$21)&gt;0,FV9,FR$21*FV9/FV$21)</f>
        <v>0</v>
      </c>
      <c r="FX9" s="163" t="s">
        <v>8</v>
      </c>
      <c r="FY9" s="154" t="s">
        <v>8</v>
      </c>
      <c r="FZ9" s="167">
        <f t="shared" ref="FZ9:FZ20" si="218">((($H9+$L9+$Q9+$W9+$AC9+$AI9+$AO9+$AU9+$BA9+$BG9+$BM9+$BS9+$BY9+$CE9+$CK9+$CQ9+$CW9+$DC9+$DI9+$DO9+$DU9+$EA9+$EG9+$EM9+$ES9+$EY9+$FE9+$FK9+$FQ9+$FW9)/$G9)/$J$21)/$I9</f>
        <v>0.62912800298581451</v>
      </c>
      <c r="GA9" s="155">
        <f t="shared" ref="GA9:GA20" si="219">FY$21-FZ9</f>
        <v>5.0905631881747793E-2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1152417.4417026807</v>
      </c>
      <c r="GC9" s="156">
        <f t="shared" ref="GC9:GC20" si="221">IF((FX$21-GB$21)&gt;0,GB9,FX$21*GB9/GB$21)</f>
        <v>0</v>
      </c>
      <c r="GD9" s="163" t="s">
        <v>8</v>
      </c>
      <c r="GE9" s="154" t="s">
        <v>8</v>
      </c>
      <c r="GF9" s="167">
        <f t="shared" ref="GF9:GF20" si="222">((($H9+$L9+$Q9+$W9+$AC9+$AI9+$AO9+$AU9+$BA9+$BG9+$BM9+$BS9+$BY9+$CE9+$CK9+$CQ9+$CW9+$DC9+$DI9+$DO9+$DU9+$EA9+$EG9+$EM9+$ES9+$EY9+$FE9+$FK9+$FQ9+$FW9+$GC9)/$G9)/$J$21)/$I9</f>
        <v>0.62912800298581451</v>
      </c>
      <c r="GG9" s="155">
        <f t="shared" ref="GG9:GG20" si="223">GE$21-GF9</f>
        <v>5.0905631881747793E-2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1152417.4417026807</v>
      </c>
      <c r="GI9" s="171">
        <f t="shared" ref="GI9:GI20" si="225">IF((GD$21-GH$21)&gt;0,GH9,GD$21*GH9/GH$21)</f>
        <v>0</v>
      </c>
      <c r="GJ9" s="169">
        <f>Q9+W9+AC9+AI9+AO9+AU9+BA9+BG9+BM9+BS9+BY9+CE9+CK9+CQ9+CW9+DC9+DI9+DO9+DU9+EA9+EG9+EM9+ES9+EY9+FE9+FK9+FQ9+FW9+GC9+GI9</f>
        <v>2561571.1006757063</v>
      </c>
      <c r="GK9" s="250">
        <f t="shared" ref="GK9:GK21" si="226">L9+GJ9</f>
        <v>2891041.0846635066</v>
      </c>
      <c r="GL9" s="182">
        <f t="shared" ref="GL9:GL20" si="227">K9+GK9/($H$21/$G$21)/G9/I9</f>
        <v>0.62912800298581451</v>
      </c>
      <c r="GM9" s="185" t="s">
        <v>210</v>
      </c>
    </row>
    <row r="10" spans="1:195" s="24" customFormat="1" ht="16.2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1370</v>
      </c>
      <c r="H10" s="30">
        <f>'Исходные данные'!D12</f>
        <v>1139206.48</v>
      </c>
      <c r="I10" s="31">
        <f>'Расчет КРП'!G8</f>
        <v>3.5420110518481902</v>
      </c>
      <c r="J10" s="117" t="s">
        <v>8</v>
      </c>
      <c r="K10" s="121">
        <f t="shared" si="104"/>
        <v>0.21294505193804578</v>
      </c>
      <c r="L10" s="78">
        <f t="shared" si="105"/>
        <v>222351.6640705844</v>
      </c>
      <c r="M10" s="74">
        <f t="shared" si="106"/>
        <v>0.25450791827112829</v>
      </c>
      <c r="N10" s="29" t="s">
        <v>8</v>
      </c>
      <c r="O10" s="32">
        <f t="shared" si="107"/>
        <v>9.5888576217513732E-2</v>
      </c>
      <c r="P10" s="33">
        <f t="shared" si="108"/>
        <v>588500.73418398527</v>
      </c>
      <c r="Q10" s="81">
        <f t="shared" si="109"/>
        <v>588500.73418398527</v>
      </c>
      <c r="R10" s="152" t="s">
        <v>8</v>
      </c>
      <c r="S10" s="29" t="s">
        <v>8</v>
      </c>
      <c r="T10" s="34">
        <f t="shared" si="110"/>
        <v>0.36451283977261661</v>
      </c>
      <c r="U10" s="32">
        <f t="shared" si="111"/>
        <v>8.6885026293102019E-2</v>
      </c>
      <c r="V10" s="54">
        <f t="shared" si="112"/>
        <v>715639.68214815075</v>
      </c>
      <c r="W10" s="81">
        <f t="shared" si="113"/>
        <v>715639.68214815075</v>
      </c>
      <c r="X10" s="77" t="s">
        <v>8</v>
      </c>
      <c r="Y10" s="29" t="s">
        <v>8</v>
      </c>
      <c r="Z10" s="34">
        <f t="shared" si="114"/>
        <v>0.49828308420097045</v>
      </c>
      <c r="AA10" s="32">
        <f t="shared" si="115"/>
        <v>6.4740164669244149E-2</v>
      </c>
      <c r="AB10" s="54">
        <f t="shared" si="116"/>
        <v>691996.76179893606</v>
      </c>
      <c r="AC10" s="81">
        <f t="shared" si="117"/>
        <v>691996.76179893606</v>
      </c>
      <c r="AD10" s="77" t="s">
        <v>8</v>
      </c>
      <c r="AE10" s="29" t="s">
        <v>8</v>
      </c>
      <c r="AF10" s="34">
        <f t="shared" si="118"/>
        <v>0.62763389897357758</v>
      </c>
      <c r="AG10" s="32">
        <f t="shared" si="119"/>
        <v>4.593585445093229E-2</v>
      </c>
      <c r="AH10" s="54">
        <f t="shared" si="120"/>
        <v>601000.20672739833</v>
      </c>
      <c r="AI10" s="81">
        <f t="shared" si="121"/>
        <v>41451.308436717925</v>
      </c>
      <c r="AJ10" s="77" t="s">
        <v>8</v>
      </c>
      <c r="AK10" s="29" t="s">
        <v>8</v>
      </c>
      <c r="AL10" s="34">
        <f t="shared" si="122"/>
        <v>0.63538214407481419</v>
      </c>
      <c r="AM10" s="32">
        <f t="shared" si="123"/>
        <v>4.4651490792748105E-2</v>
      </c>
      <c r="AN10" s="54">
        <f t="shared" si="124"/>
        <v>590537.74834869453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0.63538214407481419</v>
      </c>
      <c r="AS10" s="32">
        <f t="shared" si="127"/>
        <v>4.4651490792748105E-2</v>
      </c>
      <c r="AT10" s="54">
        <f t="shared" si="128"/>
        <v>590537.74834869453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0.63538214407481419</v>
      </c>
      <c r="AY10" s="32">
        <f t="shared" si="131"/>
        <v>4.4651490792748105E-2</v>
      </c>
      <c r="AZ10" s="54">
        <f t="shared" si="132"/>
        <v>590537.74834869453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0.63538214407481419</v>
      </c>
      <c r="BE10" s="32">
        <f t="shared" si="135"/>
        <v>4.4651490792748105E-2</v>
      </c>
      <c r="BF10" s="54">
        <f t="shared" si="136"/>
        <v>590537.74834869453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0.63538214407481419</v>
      </c>
      <c r="BK10" s="32">
        <f t="shared" si="139"/>
        <v>4.4651490792748105E-2</v>
      </c>
      <c r="BL10" s="54">
        <f t="shared" si="140"/>
        <v>590537.74834869453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0.63538214407481419</v>
      </c>
      <c r="BQ10" s="32">
        <f t="shared" si="143"/>
        <v>4.4651490792748105E-2</v>
      </c>
      <c r="BR10" s="54">
        <f t="shared" si="144"/>
        <v>590537.74834869453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0.63538214407481419</v>
      </c>
      <c r="BW10" s="32">
        <f t="shared" si="147"/>
        <v>4.4651490792748105E-2</v>
      </c>
      <c r="BX10" s="54">
        <f t="shared" si="148"/>
        <v>590537.74834869453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0.63538214407481419</v>
      </c>
      <c r="CC10" s="32">
        <f t="shared" si="151"/>
        <v>4.4651490792748105E-2</v>
      </c>
      <c r="CD10" s="54">
        <f t="shared" si="152"/>
        <v>590537.74834869453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0.63538214407481419</v>
      </c>
      <c r="CI10" s="32">
        <f t="shared" si="155"/>
        <v>4.4651490792748105E-2</v>
      </c>
      <c r="CJ10" s="54">
        <f t="shared" si="156"/>
        <v>590537.74834869453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0.63538214407481419</v>
      </c>
      <c r="CO10" s="32">
        <f t="shared" si="159"/>
        <v>4.4651490792748105E-2</v>
      </c>
      <c r="CP10" s="54">
        <f t="shared" si="160"/>
        <v>590537.74834869453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0.63538214407481419</v>
      </c>
      <c r="CU10" s="32">
        <f t="shared" si="163"/>
        <v>4.4651490792748105E-2</v>
      </c>
      <c r="CV10" s="54">
        <f t="shared" si="164"/>
        <v>590537.74834869453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0.63538214407481419</v>
      </c>
      <c r="DA10" s="32">
        <f t="shared" si="167"/>
        <v>4.4651490792748105E-2</v>
      </c>
      <c r="DB10" s="54">
        <f t="shared" si="168"/>
        <v>590537.74834869453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0.63538214407481419</v>
      </c>
      <c r="DG10" s="32">
        <f t="shared" si="171"/>
        <v>4.4651490792748105E-2</v>
      </c>
      <c r="DH10" s="54">
        <f t="shared" si="172"/>
        <v>590537.74834869453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0.63538214407481419</v>
      </c>
      <c r="DM10" s="32">
        <f t="shared" si="175"/>
        <v>4.4651490792748105E-2</v>
      </c>
      <c r="DN10" s="54">
        <f t="shared" si="176"/>
        <v>590537.74834869453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0.63538214407481419</v>
      </c>
      <c r="DS10" s="32">
        <f t="shared" si="179"/>
        <v>4.4651490792748105E-2</v>
      </c>
      <c r="DT10" s="54">
        <f t="shared" si="180"/>
        <v>590537.74834869453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0.63538214407481419</v>
      </c>
      <c r="DY10" s="32">
        <f t="shared" si="183"/>
        <v>4.4651490792748105E-2</v>
      </c>
      <c r="DZ10" s="33">
        <f t="shared" si="184"/>
        <v>590537.74834869453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0.63538214407481419</v>
      </c>
      <c r="EE10" s="32">
        <f t="shared" si="187"/>
        <v>4.4651490792748105E-2</v>
      </c>
      <c r="EF10" s="33">
        <f t="shared" si="188"/>
        <v>590537.74834869453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0.63538214407481419</v>
      </c>
      <c r="EK10" s="32">
        <f t="shared" si="191"/>
        <v>4.4651490792748105E-2</v>
      </c>
      <c r="EL10" s="33">
        <f t="shared" si="192"/>
        <v>590537.74834869453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0.63538214407481419</v>
      </c>
      <c r="EQ10" s="32">
        <f t="shared" si="195"/>
        <v>4.4651490792748105E-2</v>
      </c>
      <c r="ER10" s="33">
        <f t="shared" si="196"/>
        <v>590537.74834869453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0.63538214407481419</v>
      </c>
      <c r="EW10" s="32">
        <f t="shared" si="199"/>
        <v>4.4651490792748105E-2</v>
      </c>
      <c r="EX10" s="33">
        <f t="shared" si="200"/>
        <v>590537.74834869453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0.63538214407481419</v>
      </c>
      <c r="FC10" s="32">
        <f t="shared" si="203"/>
        <v>4.4651490792748105E-2</v>
      </c>
      <c r="FD10" s="33">
        <f t="shared" si="204"/>
        <v>590537.74834869453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0.63538214407481419</v>
      </c>
      <c r="FI10" s="32">
        <f t="shared" si="207"/>
        <v>4.4651490792748105E-2</v>
      </c>
      <c r="FJ10" s="33">
        <f t="shared" si="208"/>
        <v>590537.74834869453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0.63538214407481419</v>
      </c>
      <c r="FO10" s="32">
        <f t="shared" si="211"/>
        <v>4.4651490792748105E-2</v>
      </c>
      <c r="FP10" s="33">
        <f t="shared" si="212"/>
        <v>590537.74834869453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0.63538214407481419</v>
      </c>
      <c r="FU10" s="32">
        <f t="shared" si="215"/>
        <v>4.4651490792748105E-2</v>
      </c>
      <c r="FV10" s="33">
        <f t="shared" si="216"/>
        <v>590537.74834869453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0.63538214407481419</v>
      </c>
      <c r="GA10" s="32">
        <f t="shared" si="219"/>
        <v>4.4651490792748105E-2</v>
      </c>
      <c r="GB10" s="33">
        <f t="shared" si="220"/>
        <v>590537.74834869453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0.63538214407481419</v>
      </c>
      <c r="GG10" s="32">
        <f t="shared" si="223"/>
        <v>4.4651490792748105E-2</v>
      </c>
      <c r="GH10" s="33">
        <f t="shared" si="224"/>
        <v>590537.74834869453</v>
      </c>
      <c r="GI10" s="132">
        <f t="shared" si="225"/>
        <v>0</v>
      </c>
      <c r="GJ10" s="157">
        <f t="shared" ref="GJ10:GJ20" si="228">Q10+W10+AC10+AI10+AO10+AU10+BA10+BG10+BM10+BS10+BY10+CE10+CK10+CQ10+CW10+DC10+DI10+DO10+DU10+EA10+EG10+EM10+ES10+EY10+FE10+FK10+FQ10+FW10+GC10+GI10</f>
        <v>2037588.4865677897</v>
      </c>
      <c r="GK10" s="251">
        <f t="shared" si="226"/>
        <v>2259940.150638374</v>
      </c>
      <c r="GL10" s="182">
        <f t="shared" si="227"/>
        <v>0.63538214407481408</v>
      </c>
    </row>
    <row r="11" spans="1:195" s="24" customFormat="1" ht="16.2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715</v>
      </c>
      <c r="H11" s="30">
        <f>'Исходные данные'!D13</f>
        <v>519753.79</v>
      </c>
      <c r="I11" s="31">
        <f>'Расчет КРП'!G9</f>
        <v>5.4306622858022369</v>
      </c>
      <c r="J11" s="117" t="s">
        <v>8</v>
      </c>
      <c r="K11" s="121">
        <f t="shared" si="104"/>
        <v>0.12141557817346681</v>
      </c>
      <c r="L11" s="78">
        <f t="shared" si="105"/>
        <v>116044.84657698384</v>
      </c>
      <c r="M11" s="74">
        <f t="shared" si="106"/>
        <v>0.14852389832866131</v>
      </c>
      <c r="N11" s="29" t="s">
        <v>8</v>
      </c>
      <c r="O11" s="32">
        <f t="shared" si="107"/>
        <v>0.20187259615998071</v>
      </c>
      <c r="P11" s="33">
        <f t="shared" si="108"/>
        <v>991393.04113510612</v>
      </c>
      <c r="Q11" s="81">
        <f t="shared" si="109"/>
        <v>991393.04113510612</v>
      </c>
      <c r="R11" s="152" t="s">
        <v>8</v>
      </c>
      <c r="S11" s="29" t="s">
        <v>8</v>
      </c>
      <c r="T11" s="34">
        <f t="shared" si="110"/>
        <v>0.38011539723157534</v>
      </c>
      <c r="U11" s="32">
        <f t="shared" si="111"/>
        <v>7.1282468834143298E-2</v>
      </c>
      <c r="V11" s="54">
        <f t="shared" si="112"/>
        <v>469808.1746151587</v>
      </c>
      <c r="W11" s="81">
        <f t="shared" si="113"/>
        <v>469808.1746151587</v>
      </c>
      <c r="X11" s="77" t="s">
        <v>8</v>
      </c>
      <c r="Y11" s="29" t="s">
        <v>8</v>
      </c>
      <c r="Z11" s="34">
        <f t="shared" si="114"/>
        <v>0.48986357463595864</v>
      </c>
      <c r="AA11" s="32">
        <f t="shared" si="115"/>
        <v>7.3159674234255956E-2</v>
      </c>
      <c r="AB11" s="54">
        <f t="shared" si="116"/>
        <v>625734.90910373721</v>
      </c>
      <c r="AC11" s="81">
        <f t="shared" si="117"/>
        <v>625734.90910373721</v>
      </c>
      <c r="AD11" s="77" t="s">
        <v>8</v>
      </c>
      <c r="AE11" s="29" t="s">
        <v>8</v>
      </c>
      <c r="AF11" s="34">
        <f t="shared" si="118"/>
        <v>0.63603656506697004</v>
      </c>
      <c r="AG11" s="32">
        <f t="shared" si="119"/>
        <v>3.7533188357539826E-2</v>
      </c>
      <c r="AH11" s="54">
        <f t="shared" si="120"/>
        <v>392940.36085750459</v>
      </c>
      <c r="AI11" s="81">
        <f t="shared" si="121"/>
        <v>27101.308639861298</v>
      </c>
      <c r="AJ11" s="77" t="s">
        <v>8</v>
      </c>
      <c r="AK11" s="29" t="s">
        <v>8</v>
      </c>
      <c r="AL11" s="34">
        <f t="shared" si="122"/>
        <v>0.64236748774820018</v>
      </c>
      <c r="AM11" s="32">
        <f t="shared" si="123"/>
        <v>3.7666147119362114E-2</v>
      </c>
      <c r="AN11" s="54">
        <f t="shared" si="124"/>
        <v>398612.81602744828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0.64236748774820018</v>
      </c>
      <c r="AS11" s="32">
        <f t="shared" si="127"/>
        <v>3.7666147119362114E-2</v>
      </c>
      <c r="AT11" s="54">
        <f t="shared" si="128"/>
        <v>398612.81602744828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0.64236748774820018</v>
      </c>
      <c r="AY11" s="32">
        <f t="shared" si="131"/>
        <v>3.7666147119362114E-2</v>
      </c>
      <c r="AZ11" s="54">
        <f t="shared" si="132"/>
        <v>398612.81602744828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0.64236748774820018</v>
      </c>
      <c r="BE11" s="32">
        <f t="shared" si="135"/>
        <v>3.7666147119362114E-2</v>
      </c>
      <c r="BF11" s="54">
        <f t="shared" si="136"/>
        <v>398612.81602744828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0.64236748774820018</v>
      </c>
      <c r="BK11" s="32">
        <f t="shared" si="139"/>
        <v>3.7666147119362114E-2</v>
      </c>
      <c r="BL11" s="54">
        <f t="shared" si="140"/>
        <v>398612.81602744828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0.64236748774820018</v>
      </c>
      <c r="BQ11" s="32">
        <f t="shared" si="143"/>
        <v>3.7666147119362114E-2</v>
      </c>
      <c r="BR11" s="54">
        <f t="shared" si="144"/>
        <v>398612.81602744828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0.64236748774820018</v>
      </c>
      <c r="BW11" s="32">
        <f t="shared" si="147"/>
        <v>3.7666147119362114E-2</v>
      </c>
      <c r="BX11" s="54">
        <f t="shared" si="148"/>
        <v>398612.81602744828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0.64236748774820018</v>
      </c>
      <c r="CC11" s="32">
        <f t="shared" si="151"/>
        <v>3.7666147119362114E-2</v>
      </c>
      <c r="CD11" s="54">
        <f t="shared" si="152"/>
        <v>398612.81602744828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0.64236748774820018</v>
      </c>
      <c r="CI11" s="32">
        <f t="shared" si="155"/>
        <v>3.7666147119362114E-2</v>
      </c>
      <c r="CJ11" s="54">
        <f t="shared" si="156"/>
        <v>398612.81602744828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0.64236748774820018</v>
      </c>
      <c r="CO11" s="32">
        <f t="shared" si="159"/>
        <v>3.7666147119362114E-2</v>
      </c>
      <c r="CP11" s="54">
        <f t="shared" si="160"/>
        <v>398612.81602744828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0.64236748774820018</v>
      </c>
      <c r="CU11" s="32">
        <f t="shared" si="163"/>
        <v>3.7666147119362114E-2</v>
      </c>
      <c r="CV11" s="54">
        <f t="shared" si="164"/>
        <v>398612.81602744828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0.64236748774820018</v>
      </c>
      <c r="DA11" s="32">
        <f t="shared" si="167"/>
        <v>3.7666147119362114E-2</v>
      </c>
      <c r="DB11" s="54">
        <f t="shared" si="168"/>
        <v>398612.81602744828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0.64236748774820018</v>
      </c>
      <c r="DG11" s="32">
        <f t="shared" si="171"/>
        <v>3.7666147119362114E-2</v>
      </c>
      <c r="DH11" s="54">
        <f t="shared" si="172"/>
        <v>398612.81602744828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0.64236748774820018</v>
      </c>
      <c r="DM11" s="32">
        <f t="shared" si="175"/>
        <v>3.7666147119362114E-2</v>
      </c>
      <c r="DN11" s="54">
        <f t="shared" si="176"/>
        <v>398612.81602744828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0.64236748774820018</v>
      </c>
      <c r="DS11" s="32">
        <f t="shared" si="179"/>
        <v>3.7666147119362114E-2</v>
      </c>
      <c r="DT11" s="54">
        <f t="shared" si="180"/>
        <v>398612.81602744828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0.64236748774820018</v>
      </c>
      <c r="DY11" s="32">
        <f t="shared" si="183"/>
        <v>3.7666147119362114E-2</v>
      </c>
      <c r="DZ11" s="33">
        <f t="shared" si="184"/>
        <v>398612.81602744828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0.64236748774820018</v>
      </c>
      <c r="EE11" s="32">
        <f t="shared" si="187"/>
        <v>3.7666147119362114E-2</v>
      </c>
      <c r="EF11" s="33">
        <f t="shared" si="188"/>
        <v>398612.81602744828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0.64236748774820018</v>
      </c>
      <c r="EK11" s="32">
        <f t="shared" si="191"/>
        <v>3.7666147119362114E-2</v>
      </c>
      <c r="EL11" s="33">
        <f t="shared" si="192"/>
        <v>398612.81602744828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0.64236748774820018</v>
      </c>
      <c r="EQ11" s="32">
        <f t="shared" si="195"/>
        <v>3.7666147119362114E-2</v>
      </c>
      <c r="ER11" s="33">
        <f t="shared" si="196"/>
        <v>398612.81602744828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0.64236748774820018</v>
      </c>
      <c r="EW11" s="32">
        <f t="shared" si="199"/>
        <v>3.7666147119362114E-2</v>
      </c>
      <c r="EX11" s="33">
        <f t="shared" si="200"/>
        <v>398612.81602744828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0.64236748774820018</v>
      </c>
      <c r="FC11" s="32">
        <f t="shared" si="203"/>
        <v>3.7666147119362114E-2</v>
      </c>
      <c r="FD11" s="33">
        <f t="shared" si="204"/>
        <v>398612.81602744828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0.64236748774820018</v>
      </c>
      <c r="FI11" s="32">
        <f t="shared" si="207"/>
        <v>3.7666147119362114E-2</v>
      </c>
      <c r="FJ11" s="33">
        <f t="shared" si="208"/>
        <v>398612.81602744828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0.64236748774820018</v>
      </c>
      <c r="FO11" s="32">
        <f t="shared" si="211"/>
        <v>3.7666147119362114E-2</v>
      </c>
      <c r="FP11" s="33">
        <f t="shared" si="212"/>
        <v>398612.81602744828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0.64236748774820018</v>
      </c>
      <c r="FU11" s="32">
        <f t="shared" si="215"/>
        <v>3.7666147119362114E-2</v>
      </c>
      <c r="FV11" s="33">
        <f t="shared" si="216"/>
        <v>398612.81602744828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0.64236748774820018</v>
      </c>
      <c r="GA11" s="32">
        <f t="shared" si="219"/>
        <v>3.7666147119362114E-2</v>
      </c>
      <c r="GB11" s="33">
        <f t="shared" si="220"/>
        <v>398612.81602744828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0.64236748774820018</v>
      </c>
      <c r="GG11" s="32">
        <f t="shared" si="223"/>
        <v>3.7666147119362114E-2</v>
      </c>
      <c r="GH11" s="33">
        <f t="shared" si="224"/>
        <v>398612.81602744828</v>
      </c>
      <c r="GI11" s="132">
        <f t="shared" si="225"/>
        <v>0</v>
      </c>
      <c r="GJ11" s="157">
        <f t="shared" si="228"/>
        <v>2114037.4334938633</v>
      </c>
      <c r="GK11" s="251">
        <f t="shared" si="226"/>
        <v>2230082.2800708474</v>
      </c>
      <c r="GL11" s="182">
        <f t="shared" si="227"/>
        <v>0.64236748774820029</v>
      </c>
    </row>
    <row r="12" spans="1:195" s="24" customFormat="1" ht="31.8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1591</v>
      </c>
      <c r="H12" s="30">
        <f>'Исходные данные'!D14</f>
        <v>1540912.77</v>
      </c>
      <c r="I12" s="31">
        <f>'Расчет КРП'!G10</f>
        <v>3.8806208490326481</v>
      </c>
      <c r="J12" s="117" t="s">
        <v>8</v>
      </c>
      <c r="K12" s="121">
        <f t="shared" si="104"/>
        <v>0.22638218513749866</v>
      </c>
      <c r="L12" s="78">
        <f t="shared" si="105"/>
        <v>258220.07119437944</v>
      </c>
      <c r="M12" s="74">
        <f t="shared" si="106"/>
        <v>0.26431841689664237</v>
      </c>
      <c r="N12" s="29" t="s">
        <v>8</v>
      </c>
      <c r="O12" s="32">
        <f t="shared" si="107"/>
        <v>8.6078077591999647E-2</v>
      </c>
      <c r="P12" s="33">
        <f t="shared" si="108"/>
        <v>672161.46572469501</v>
      </c>
      <c r="Q12" s="81">
        <f t="shared" si="109"/>
        <v>672161.46572469501</v>
      </c>
      <c r="R12" s="152" t="s">
        <v>8</v>
      </c>
      <c r="S12" s="29" t="s">
        <v>8</v>
      </c>
      <c r="T12" s="34">
        <f t="shared" si="110"/>
        <v>0.36306857611297516</v>
      </c>
      <c r="U12" s="32">
        <f t="shared" si="111"/>
        <v>8.8329289952743473E-2</v>
      </c>
      <c r="V12" s="54">
        <f t="shared" si="112"/>
        <v>925667.7424702784</v>
      </c>
      <c r="W12" s="81">
        <f t="shared" si="113"/>
        <v>925667.7424702784</v>
      </c>
      <c r="X12" s="77" t="s">
        <v>8</v>
      </c>
      <c r="Y12" s="29" t="s">
        <v>8</v>
      </c>
      <c r="Z12" s="34">
        <f t="shared" si="114"/>
        <v>0.49906244308035508</v>
      </c>
      <c r="AA12" s="32">
        <f t="shared" si="115"/>
        <v>6.3960805789859521E-2</v>
      </c>
      <c r="AB12" s="54">
        <f t="shared" si="116"/>
        <v>869851.47067682224</v>
      </c>
      <c r="AC12" s="81">
        <f t="shared" si="117"/>
        <v>869851.47067682224</v>
      </c>
      <c r="AD12" s="77" t="s">
        <v>8</v>
      </c>
      <c r="AE12" s="29" t="s">
        <v>8</v>
      </c>
      <c r="AF12" s="34">
        <f t="shared" si="118"/>
        <v>0.62685609922410035</v>
      </c>
      <c r="AG12" s="32">
        <f t="shared" si="119"/>
        <v>4.6713654200409516E-2</v>
      </c>
      <c r="AH12" s="54">
        <f t="shared" si="120"/>
        <v>777620.27775087964</v>
      </c>
      <c r="AI12" s="81">
        <f t="shared" si="121"/>
        <v>53632.890003843859</v>
      </c>
      <c r="AJ12" s="77" t="s">
        <v>8</v>
      </c>
      <c r="AK12" s="29" t="s">
        <v>8</v>
      </c>
      <c r="AL12" s="34">
        <f t="shared" si="122"/>
        <v>0.6347355399495539</v>
      </c>
      <c r="AM12" s="32">
        <f t="shared" si="123"/>
        <v>4.5298094918008402E-2</v>
      </c>
      <c r="AN12" s="54">
        <f t="shared" si="124"/>
        <v>762241.43147451966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0.6347355399495539</v>
      </c>
      <c r="AS12" s="32">
        <f t="shared" si="127"/>
        <v>4.5298094918008402E-2</v>
      </c>
      <c r="AT12" s="54">
        <f t="shared" si="128"/>
        <v>762241.43147451966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0.6347355399495539</v>
      </c>
      <c r="AY12" s="32">
        <f t="shared" si="131"/>
        <v>4.5298094918008402E-2</v>
      </c>
      <c r="AZ12" s="54">
        <f t="shared" si="132"/>
        <v>762241.43147451966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0.6347355399495539</v>
      </c>
      <c r="BE12" s="32">
        <f t="shared" si="135"/>
        <v>4.5298094918008402E-2</v>
      </c>
      <c r="BF12" s="54">
        <f t="shared" si="136"/>
        <v>762241.43147451966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0.6347355399495539</v>
      </c>
      <c r="BK12" s="32">
        <f t="shared" si="139"/>
        <v>4.5298094918008402E-2</v>
      </c>
      <c r="BL12" s="54">
        <f t="shared" si="140"/>
        <v>762241.43147451966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0.6347355399495539</v>
      </c>
      <c r="BQ12" s="32">
        <f t="shared" si="143"/>
        <v>4.5298094918008402E-2</v>
      </c>
      <c r="BR12" s="54">
        <f t="shared" si="144"/>
        <v>762241.43147451966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0.6347355399495539</v>
      </c>
      <c r="BW12" s="32">
        <f t="shared" si="147"/>
        <v>4.5298094918008402E-2</v>
      </c>
      <c r="BX12" s="54">
        <f t="shared" si="148"/>
        <v>762241.43147451966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0.6347355399495539</v>
      </c>
      <c r="CC12" s="32">
        <f t="shared" si="151"/>
        <v>4.5298094918008402E-2</v>
      </c>
      <c r="CD12" s="54">
        <f t="shared" si="152"/>
        <v>762241.43147451966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0.6347355399495539</v>
      </c>
      <c r="CI12" s="32">
        <f t="shared" si="155"/>
        <v>4.5298094918008402E-2</v>
      </c>
      <c r="CJ12" s="54">
        <f t="shared" si="156"/>
        <v>762241.43147451966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0.6347355399495539</v>
      </c>
      <c r="CO12" s="32">
        <f t="shared" si="159"/>
        <v>4.5298094918008402E-2</v>
      </c>
      <c r="CP12" s="54">
        <f t="shared" si="160"/>
        <v>762241.43147451966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0.6347355399495539</v>
      </c>
      <c r="CU12" s="32">
        <f t="shared" si="163"/>
        <v>4.5298094918008402E-2</v>
      </c>
      <c r="CV12" s="54">
        <f t="shared" si="164"/>
        <v>762241.43147451966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0.6347355399495539</v>
      </c>
      <c r="DA12" s="32">
        <f t="shared" si="167"/>
        <v>4.5298094918008402E-2</v>
      </c>
      <c r="DB12" s="54">
        <f t="shared" si="168"/>
        <v>762241.43147451966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0.6347355399495539</v>
      </c>
      <c r="DG12" s="32">
        <f t="shared" si="171"/>
        <v>4.5298094918008402E-2</v>
      </c>
      <c r="DH12" s="54">
        <f t="shared" si="172"/>
        <v>762241.43147451966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0.6347355399495539</v>
      </c>
      <c r="DM12" s="32">
        <f t="shared" si="175"/>
        <v>4.5298094918008402E-2</v>
      </c>
      <c r="DN12" s="54">
        <f t="shared" si="176"/>
        <v>762241.43147451966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0.6347355399495539</v>
      </c>
      <c r="DS12" s="32">
        <f t="shared" si="179"/>
        <v>4.5298094918008402E-2</v>
      </c>
      <c r="DT12" s="54">
        <f t="shared" si="180"/>
        <v>762241.43147451966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0.6347355399495539</v>
      </c>
      <c r="DY12" s="32">
        <f t="shared" si="183"/>
        <v>4.5298094918008402E-2</v>
      </c>
      <c r="DZ12" s="33">
        <f t="shared" si="184"/>
        <v>762241.43147451966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0.6347355399495539</v>
      </c>
      <c r="EE12" s="32">
        <f t="shared" si="187"/>
        <v>4.5298094918008402E-2</v>
      </c>
      <c r="EF12" s="33">
        <f t="shared" si="188"/>
        <v>762241.43147451966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0.6347355399495539</v>
      </c>
      <c r="EK12" s="32">
        <f t="shared" si="191"/>
        <v>4.5298094918008402E-2</v>
      </c>
      <c r="EL12" s="33">
        <f t="shared" si="192"/>
        <v>762241.43147451966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0.6347355399495539</v>
      </c>
      <c r="EQ12" s="32">
        <f t="shared" si="195"/>
        <v>4.5298094918008402E-2</v>
      </c>
      <c r="ER12" s="33">
        <f t="shared" si="196"/>
        <v>762241.43147451966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0.6347355399495539</v>
      </c>
      <c r="EW12" s="32">
        <f t="shared" si="199"/>
        <v>4.5298094918008402E-2</v>
      </c>
      <c r="EX12" s="33">
        <f t="shared" si="200"/>
        <v>762241.43147451966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0.6347355399495539</v>
      </c>
      <c r="FC12" s="32">
        <f t="shared" si="203"/>
        <v>4.5298094918008402E-2</v>
      </c>
      <c r="FD12" s="33">
        <f t="shared" si="204"/>
        <v>762241.43147451966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0.6347355399495539</v>
      </c>
      <c r="FI12" s="32">
        <f t="shared" si="207"/>
        <v>4.5298094918008402E-2</v>
      </c>
      <c r="FJ12" s="33">
        <f t="shared" si="208"/>
        <v>762241.43147451966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0.6347355399495539</v>
      </c>
      <c r="FO12" s="32">
        <f t="shared" si="211"/>
        <v>4.5298094918008402E-2</v>
      </c>
      <c r="FP12" s="33">
        <f t="shared" si="212"/>
        <v>762241.43147451966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0.6347355399495539</v>
      </c>
      <c r="FU12" s="32">
        <f t="shared" si="215"/>
        <v>4.5298094918008402E-2</v>
      </c>
      <c r="FV12" s="33">
        <f t="shared" si="216"/>
        <v>762241.43147451966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0.6347355399495539</v>
      </c>
      <c r="GA12" s="32">
        <f t="shared" si="219"/>
        <v>4.5298094918008402E-2</v>
      </c>
      <c r="GB12" s="33">
        <f t="shared" si="220"/>
        <v>762241.43147451966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0.6347355399495539</v>
      </c>
      <c r="GG12" s="32">
        <f t="shared" si="223"/>
        <v>4.5298094918008402E-2</v>
      </c>
      <c r="GH12" s="33">
        <f t="shared" si="224"/>
        <v>762241.43147451966</v>
      </c>
      <c r="GI12" s="132">
        <f t="shared" si="225"/>
        <v>0</v>
      </c>
      <c r="GJ12" s="157">
        <f t="shared" si="228"/>
        <v>2521313.5688756392</v>
      </c>
      <c r="GK12" s="251">
        <f t="shared" si="226"/>
        <v>2779533.6400700188</v>
      </c>
      <c r="GL12" s="182">
        <f t="shared" si="227"/>
        <v>0.63473553994955378</v>
      </c>
    </row>
    <row r="13" spans="1:195" s="24" customFormat="1" ht="15.75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1274</v>
      </c>
      <c r="H13" s="30">
        <f>'Исходные данные'!D15</f>
        <v>1190148.8400000001</v>
      </c>
      <c r="I13" s="31">
        <f>'Расчет КРП'!G11</f>
        <v>5.7873838925462566</v>
      </c>
      <c r="J13" s="117" t="s">
        <v>8</v>
      </c>
      <c r="K13" s="121">
        <f t="shared" si="104"/>
        <v>0.14641485576792967</v>
      </c>
      <c r="L13" s="78">
        <f t="shared" si="105"/>
        <v>206770.81753717118</v>
      </c>
      <c r="M13" s="74">
        <f t="shared" si="106"/>
        <v>0.17185227872649156</v>
      </c>
      <c r="N13" s="29" t="s">
        <v>8</v>
      </c>
      <c r="O13" s="32">
        <f t="shared" si="107"/>
        <v>0.17854421576215046</v>
      </c>
      <c r="P13" s="33">
        <f t="shared" si="108"/>
        <v>1664972.8805881999</v>
      </c>
      <c r="Q13" s="81">
        <f t="shared" si="109"/>
        <v>1664972.8805881999</v>
      </c>
      <c r="R13" s="152" t="s">
        <v>8</v>
      </c>
      <c r="S13" s="29" t="s">
        <v>8</v>
      </c>
      <c r="T13" s="34">
        <f t="shared" si="110"/>
        <v>0.37668108330595546</v>
      </c>
      <c r="U13" s="32">
        <f t="shared" si="111"/>
        <v>7.4716782759763178E-2</v>
      </c>
      <c r="V13" s="54">
        <f t="shared" si="112"/>
        <v>935080.24221885961</v>
      </c>
      <c r="W13" s="81">
        <f t="shared" si="113"/>
        <v>935080.24221885961</v>
      </c>
      <c r="X13" s="77" t="s">
        <v>8</v>
      </c>
      <c r="Y13" s="29" t="s">
        <v>8</v>
      </c>
      <c r="Z13" s="34">
        <f t="shared" si="114"/>
        <v>0.49171681177493842</v>
      </c>
      <c r="AA13" s="32">
        <f t="shared" si="115"/>
        <v>7.1306437095276176E-2</v>
      </c>
      <c r="AB13" s="54">
        <f t="shared" si="116"/>
        <v>1158084.4749088695</v>
      </c>
      <c r="AC13" s="81">
        <f t="shared" si="117"/>
        <v>1158084.4749088695</v>
      </c>
      <c r="AD13" s="77" t="s">
        <v>8</v>
      </c>
      <c r="AE13" s="29" t="s">
        <v>8</v>
      </c>
      <c r="AF13" s="34">
        <f t="shared" si="118"/>
        <v>0.63418703538231569</v>
      </c>
      <c r="AG13" s="32">
        <f t="shared" si="119"/>
        <v>3.9382718042194176E-2</v>
      </c>
      <c r="AH13" s="54">
        <f t="shared" si="120"/>
        <v>782906.22926270962</v>
      </c>
      <c r="AI13" s="81">
        <f t="shared" si="121"/>
        <v>53997.464930850147</v>
      </c>
      <c r="AJ13" s="77" t="s">
        <v>8</v>
      </c>
      <c r="AK13" s="29" t="s">
        <v>8</v>
      </c>
      <c r="AL13" s="34">
        <f t="shared" si="122"/>
        <v>0.64082992808108452</v>
      </c>
      <c r="AM13" s="32">
        <f t="shared" si="123"/>
        <v>3.9203706786477777E-2</v>
      </c>
      <c r="AN13" s="54">
        <f t="shared" si="124"/>
        <v>787807.43082750449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0.64082992808108452</v>
      </c>
      <c r="AS13" s="32">
        <f t="shared" si="127"/>
        <v>3.9203706786477777E-2</v>
      </c>
      <c r="AT13" s="54">
        <f t="shared" si="128"/>
        <v>787807.43082750449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0.64082992808108452</v>
      </c>
      <c r="AY13" s="32">
        <f t="shared" si="131"/>
        <v>3.9203706786477777E-2</v>
      </c>
      <c r="AZ13" s="54">
        <f t="shared" si="132"/>
        <v>787807.43082750449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0.64082992808108452</v>
      </c>
      <c r="BE13" s="32">
        <f t="shared" si="135"/>
        <v>3.9203706786477777E-2</v>
      </c>
      <c r="BF13" s="54">
        <f t="shared" si="136"/>
        <v>787807.43082750449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0.64082992808108452</v>
      </c>
      <c r="BK13" s="32">
        <f t="shared" si="139"/>
        <v>3.9203706786477777E-2</v>
      </c>
      <c r="BL13" s="54">
        <f t="shared" si="140"/>
        <v>787807.43082750449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0.64082992808108452</v>
      </c>
      <c r="BQ13" s="32">
        <f t="shared" si="143"/>
        <v>3.9203706786477777E-2</v>
      </c>
      <c r="BR13" s="54">
        <f t="shared" si="144"/>
        <v>787807.43082750449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0.64082992808108452</v>
      </c>
      <c r="BW13" s="32">
        <f t="shared" si="147"/>
        <v>3.9203706786477777E-2</v>
      </c>
      <c r="BX13" s="54">
        <f t="shared" si="148"/>
        <v>787807.43082750449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0.64082992808108452</v>
      </c>
      <c r="CC13" s="32">
        <f t="shared" si="151"/>
        <v>3.9203706786477777E-2</v>
      </c>
      <c r="CD13" s="54">
        <f t="shared" si="152"/>
        <v>787807.43082750449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0.64082992808108452</v>
      </c>
      <c r="CI13" s="32">
        <f t="shared" si="155"/>
        <v>3.9203706786477777E-2</v>
      </c>
      <c r="CJ13" s="54">
        <f t="shared" si="156"/>
        <v>787807.43082750449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0.64082992808108452</v>
      </c>
      <c r="CO13" s="32">
        <f t="shared" si="159"/>
        <v>3.9203706786477777E-2</v>
      </c>
      <c r="CP13" s="54">
        <f t="shared" si="160"/>
        <v>787807.43082750449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0.64082992808108452</v>
      </c>
      <c r="CU13" s="32">
        <f t="shared" si="163"/>
        <v>3.9203706786477777E-2</v>
      </c>
      <c r="CV13" s="54">
        <f t="shared" si="164"/>
        <v>787807.43082750449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0.64082992808108452</v>
      </c>
      <c r="DA13" s="32">
        <f t="shared" si="167"/>
        <v>3.9203706786477777E-2</v>
      </c>
      <c r="DB13" s="54">
        <f t="shared" si="168"/>
        <v>787807.43082750449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0.64082992808108452</v>
      </c>
      <c r="DG13" s="32">
        <f t="shared" si="171"/>
        <v>3.9203706786477777E-2</v>
      </c>
      <c r="DH13" s="54">
        <f t="shared" si="172"/>
        <v>787807.43082750449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0.64082992808108452</v>
      </c>
      <c r="DM13" s="32">
        <f t="shared" si="175"/>
        <v>3.9203706786477777E-2</v>
      </c>
      <c r="DN13" s="54">
        <f t="shared" si="176"/>
        <v>787807.43082750449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0.64082992808108452</v>
      </c>
      <c r="DS13" s="32">
        <f t="shared" si="179"/>
        <v>3.9203706786477777E-2</v>
      </c>
      <c r="DT13" s="54">
        <f t="shared" si="180"/>
        <v>787807.43082750449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0.64082992808108452</v>
      </c>
      <c r="DY13" s="32">
        <f t="shared" si="183"/>
        <v>3.9203706786477777E-2</v>
      </c>
      <c r="DZ13" s="33">
        <f t="shared" si="184"/>
        <v>787807.43082750449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0.64082992808108452</v>
      </c>
      <c r="EE13" s="32">
        <f t="shared" si="187"/>
        <v>3.9203706786477777E-2</v>
      </c>
      <c r="EF13" s="33">
        <f t="shared" si="188"/>
        <v>787807.43082750449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0.64082992808108452</v>
      </c>
      <c r="EK13" s="32">
        <f t="shared" si="191"/>
        <v>3.9203706786477777E-2</v>
      </c>
      <c r="EL13" s="33">
        <f t="shared" si="192"/>
        <v>787807.43082750449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0.64082992808108452</v>
      </c>
      <c r="EQ13" s="32">
        <f t="shared" si="195"/>
        <v>3.9203706786477777E-2</v>
      </c>
      <c r="ER13" s="33">
        <f t="shared" si="196"/>
        <v>787807.43082750449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0.64082992808108452</v>
      </c>
      <c r="EW13" s="32">
        <f t="shared" si="199"/>
        <v>3.9203706786477777E-2</v>
      </c>
      <c r="EX13" s="33">
        <f t="shared" si="200"/>
        <v>787807.43082750449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0.64082992808108452</v>
      </c>
      <c r="FC13" s="32">
        <f t="shared" si="203"/>
        <v>3.9203706786477777E-2</v>
      </c>
      <c r="FD13" s="33">
        <f t="shared" si="204"/>
        <v>787807.43082750449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0.64082992808108452</v>
      </c>
      <c r="FI13" s="32">
        <f t="shared" si="207"/>
        <v>3.9203706786477777E-2</v>
      </c>
      <c r="FJ13" s="33">
        <f t="shared" si="208"/>
        <v>787807.43082750449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0.64082992808108452</v>
      </c>
      <c r="FO13" s="32">
        <f t="shared" si="211"/>
        <v>3.9203706786477777E-2</v>
      </c>
      <c r="FP13" s="33">
        <f t="shared" si="212"/>
        <v>787807.43082750449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0.64082992808108452</v>
      </c>
      <c r="FU13" s="32">
        <f t="shared" si="215"/>
        <v>3.9203706786477777E-2</v>
      </c>
      <c r="FV13" s="33">
        <f t="shared" si="216"/>
        <v>787807.43082750449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0.64082992808108452</v>
      </c>
      <c r="GA13" s="32">
        <f t="shared" si="219"/>
        <v>3.9203706786477777E-2</v>
      </c>
      <c r="GB13" s="33">
        <f t="shared" si="220"/>
        <v>787807.43082750449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0.64082992808108452</v>
      </c>
      <c r="GG13" s="32">
        <f t="shared" si="223"/>
        <v>3.9203706786477777E-2</v>
      </c>
      <c r="GH13" s="33">
        <f t="shared" si="224"/>
        <v>787807.43082750449</v>
      </c>
      <c r="GI13" s="132">
        <f t="shared" si="225"/>
        <v>0</v>
      </c>
      <c r="GJ13" s="157">
        <f t="shared" si="228"/>
        <v>3812135.0626467792</v>
      </c>
      <c r="GK13" s="251">
        <f t="shared" si="226"/>
        <v>4018905.8801839505</v>
      </c>
      <c r="GL13" s="182">
        <f t="shared" si="227"/>
        <v>0.64082992808108474</v>
      </c>
    </row>
    <row r="14" spans="1:195" s="24" customFormat="1" ht="31.8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1321</v>
      </c>
      <c r="H14" s="30">
        <f>'Исходные данные'!D16</f>
        <v>1115602.82</v>
      </c>
      <c r="I14" s="31">
        <f>'Расчет КРП'!G12</f>
        <v>4.7386662394138579</v>
      </c>
      <c r="J14" s="117" t="s">
        <v>8</v>
      </c>
      <c r="K14" s="121">
        <f t="shared" si="104"/>
        <v>0.16165392372833601</v>
      </c>
      <c r="L14" s="78">
        <f t="shared" si="105"/>
        <v>214398.94031915473</v>
      </c>
      <c r="M14" s="74">
        <f t="shared" si="106"/>
        <v>0.19272092116187484</v>
      </c>
      <c r="N14" s="29" t="s">
        <v>8</v>
      </c>
      <c r="O14" s="32">
        <f t="shared" si="107"/>
        <v>0.15767557332676718</v>
      </c>
      <c r="P14" s="33">
        <f t="shared" si="108"/>
        <v>1248340.3749563841</v>
      </c>
      <c r="Q14" s="81">
        <f t="shared" si="109"/>
        <v>1248340.3749563841</v>
      </c>
      <c r="R14" s="152" t="s">
        <v>8</v>
      </c>
      <c r="S14" s="29" t="s">
        <v>8</v>
      </c>
      <c r="T14" s="34">
        <f t="shared" si="110"/>
        <v>0.37360888248865037</v>
      </c>
      <c r="U14" s="32">
        <f t="shared" si="111"/>
        <v>7.778898357706826E-2</v>
      </c>
      <c r="V14" s="54">
        <f t="shared" si="112"/>
        <v>826525.07477481652</v>
      </c>
      <c r="W14" s="81">
        <f t="shared" si="113"/>
        <v>826525.07477481652</v>
      </c>
      <c r="X14" s="77" t="s">
        <v>8</v>
      </c>
      <c r="Y14" s="29" t="s">
        <v>8</v>
      </c>
      <c r="Z14" s="34">
        <f t="shared" si="114"/>
        <v>0.4933746441037074</v>
      </c>
      <c r="AA14" s="32">
        <f t="shared" si="115"/>
        <v>6.9648604766507194E-2</v>
      </c>
      <c r="AB14" s="54">
        <f t="shared" si="116"/>
        <v>960353.54257218284</v>
      </c>
      <c r="AC14" s="81">
        <f t="shared" si="117"/>
        <v>960353.54257218284</v>
      </c>
      <c r="AD14" s="77" t="s">
        <v>8</v>
      </c>
      <c r="AE14" s="29" t="s">
        <v>8</v>
      </c>
      <c r="AF14" s="34">
        <f t="shared" si="118"/>
        <v>0.63253251959491574</v>
      </c>
      <c r="AG14" s="32">
        <f t="shared" si="119"/>
        <v>4.1037233829594122E-2</v>
      </c>
      <c r="AH14" s="54">
        <f t="shared" si="120"/>
        <v>692610.96158942801</v>
      </c>
      <c r="AI14" s="81">
        <f t="shared" si="121"/>
        <v>47769.751614274057</v>
      </c>
      <c r="AJ14" s="77" t="s">
        <v>8</v>
      </c>
      <c r="AK14" s="29" t="s">
        <v>8</v>
      </c>
      <c r="AL14" s="34">
        <f t="shared" si="122"/>
        <v>0.63945448827905327</v>
      </c>
      <c r="AM14" s="32">
        <f t="shared" si="123"/>
        <v>4.057914658850903E-2</v>
      </c>
      <c r="AN14" s="54">
        <f t="shared" si="124"/>
        <v>692313.9283671733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0.63945448827905327</v>
      </c>
      <c r="AS14" s="32">
        <f t="shared" si="127"/>
        <v>4.057914658850903E-2</v>
      </c>
      <c r="AT14" s="54">
        <f t="shared" si="128"/>
        <v>692313.9283671733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0.63945448827905327</v>
      </c>
      <c r="AY14" s="32">
        <f t="shared" si="131"/>
        <v>4.057914658850903E-2</v>
      </c>
      <c r="AZ14" s="54">
        <f t="shared" si="132"/>
        <v>692313.9283671733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0.63945448827905327</v>
      </c>
      <c r="BE14" s="32">
        <f t="shared" si="135"/>
        <v>4.057914658850903E-2</v>
      </c>
      <c r="BF14" s="54">
        <f t="shared" si="136"/>
        <v>692313.9283671733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0.63945448827905327</v>
      </c>
      <c r="BK14" s="32">
        <f t="shared" si="139"/>
        <v>4.057914658850903E-2</v>
      </c>
      <c r="BL14" s="54">
        <f t="shared" si="140"/>
        <v>692313.9283671733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0.63945448827905327</v>
      </c>
      <c r="BQ14" s="32">
        <f t="shared" si="143"/>
        <v>4.057914658850903E-2</v>
      </c>
      <c r="BR14" s="54">
        <f t="shared" si="144"/>
        <v>692313.9283671733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0.63945448827905327</v>
      </c>
      <c r="BW14" s="32">
        <f t="shared" si="147"/>
        <v>4.057914658850903E-2</v>
      </c>
      <c r="BX14" s="54">
        <f t="shared" si="148"/>
        <v>692313.9283671733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0.63945448827905327</v>
      </c>
      <c r="CC14" s="32">
        <f t="shared" si="151"/>
        <v>4.057914658850903E-2</v>
      </c>
      <c r="CD14" s="54">
        <f t="shared" si="152"/>
        <v>692313.9283671733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0.63945448827905327</v>
      </c>
      <c r="CI14" s="32">
        <f t="shared" si="155"/>
        <v>4.057914658850903E-2</v>
      </c>
      <c r="CJ14" s="54">
        <f t="shared" si="156"/>
        <v>692313.9283671733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0.63945448827905327</v>
      </c>
      <c r="CO14" s="32">
        <f t="shared" si="159"/>
        <v>4.057914658850903E-2</v>
      </c>
      <c r="CP14" s="54">
        <f t="shared" si="160"/>
        <v>692313.9283671733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0.63945448827905327</v>
      </c>
      <c r="CU14" s="32">
        <f t="shared" si="163"/>
        <v>4.057914658850903E-2</v>
      </c>
      <c r="CV14" s="54">
        <f t="shared" si="164"/>
        <v>692313.9283671733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0.63945448827905327</v>
      </c>
      <c r="DA14" s="32">
        <f t="shared" si="167"/>
        <v>4.057914658850903E-2</v>
      </c>
      <c r="DB14" s="54">
        <f t="shared" si="168"/>
        <v>692313.9283671733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0.63945448827905327</v>
      </c>
      <c r="DG14" s="32">
        <f t="shared" si="171"/>
        <v>4.057914658850903E-2</v>
      </c>
      <c r="DH14" s="54">
        <f t="shared" si="172"/>
        <v>692313.9283671733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0.63945448827905327</v>
      </c>
      <c r="DM14" s="32">
        <f t="shared" si="175"/>
        <v>4.057914658850903E-2</v>
      </c>
      <c r="DN14" s="54">
        <f t="shared" si="176"/>
        <v>692313.9283671733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0.63945448827905327</v>
      </c>
      <c r="DS14" s="32">
        <f t="shared" si="179"/>
        <v>4.057914658850903E-2</v>
      </c>
      <c r="DT14" s="54">
        <f t="shared" si="180"/>
        <v>692313.9283671733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0.63945448827905327</v>
      </c>
      <c r="DY14" s="32">
        <f t="shared" si="183"/>
        <v>4.057914658850903E-2</v>
      </c>
      <c r="DZ14" s="33">
        <f t="shared" si="184"/>
        <v>692313.9283671733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0.63945448827905327</v>
      </c>
      <c r="EE14" s="32">
        <f t="shared" si="187"/>
        <v>4.057914658850903E-2</v>
      </c>
      <c r="EF14" s="33">
        <f t="shared" si="188"/>
        <v>692313.9283671733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0.63945448827905327</v>
      </c>
      <c r="EK14" s="32">
        <f t="shared" si="191"/>
        <v>4.057914658850903E-2</v>
      </c>
      <c r="EL14" s="33">
        <f t="shared" si="192"/>
        <v>692313.9283671733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0.63945448827905327</v>
      </c>
      <c r="EQ14" s="32">
        <f t="shared" si="195"/>
        <v>4.057914658850903E-2</v>
      </c>
      <c r="ER14" s="33">
        <f t="shared" si="196"/>
        <v>692313.9283671733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0.63945448827905327</v>
      </c>
      <c r="EW14" s="32">
        <f t="shared" si="199"/>
        <v>4.057914658850903E-2</v>
      </c>
      <c r="EX14" s="33">
        <f t="shared" si="200"/>
        <v>692313.9283671733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0.63945448827905327</v>
      </c>
      <c r="FC14" s="32">
        <f t="shared" si="203"/>
        <v>4.057914658850903E-2</v>
      </c>
      <c r="FD14" s="33">
        <f t="shared" si="204"/>
        <v>692313.9283671733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0.63945448827905327</v>
      </c>
      <c r="FI14" s="32">
        <f t="shared" si="207"/>
        <v>4.057914658850903E-2</v>
      </c>
      <c r="FJ14" s="33">
        <f t="shared" si="208"/>
        <v>692313.9283671733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0.63945448827905327</v>
      </c>
      <c r="FO14" s="32">
        <f t="shared" si="211"/>
        <v>4.057914658850903E-2</v>
      </c>
      <c r="FP14" s="33">
        <f t="shared" si="212"/>
        <v>692313.9283671733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0.63945448827905327</v>
      </c>
      <c r="FU14" s="32">
        <f t="shared" si="215"/>
        <v>4.057914658850903E-2</v>
      </c>
      <c r="FV14" s="33">
        <f t="shared" si="216"/>
        <v>692313.9283671733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0.63945448827905327</v>
      </c>
      <c r="GA14" s="32">
        <f t="shared" si="219"/>
        <v>4.057914658850903E-2</v>
      </c>
      <c r="GB14" s="33">
        <f t="shared" si="220"/>
        <v>692313.9283671733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0.63945448827905327</v>
      </c>
      <c r="GG14" s="32">
        <f t="shared" si="223"/>
        <v>4.057914658850903E-2</v>
      </c>
      <c r="GH14" s="33">
        <f t="shared" si="224"/>
        <v>692313.9283671733</v>
      </c>
      <c r="GI14" s="132">
        <f t="shared" si="225"/>
        <v>0</v>
      </c>
      <c r="GJ14" s="157">
        <f t="shared" si="228"/>
        <v>3082988.7439176575</v>
      </c>
      <c r="GK14" s="251">
        <f t="shared" si="226"/>
        <v>3297387.6842368124</v>
      </c>
      <c r="GL14" s="182">
        <f t="shared" si="227"/>
        <v>0.63945448827905327</v>
      </c>
    </row>
    <row r="15" spans="1:195" s="24" customFormat="1" ht="16.2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1299</v>
      </c>
      <c r="H15" s="30">
        <f>'Исходные данные'!D17</f>
        <v>2023657.38</v>
      </c>
      <c r="I15" s="31">
        <f>'Расчет КРП'!G13</f>
        <v>6.0161405854838277</v>
      </c>
      <c r="J15" s="117" t="s">
        <v>8</v>
      </c>
      <c r="K15" s="121">
        <f t="shared" si="104"/>
        <v>0.23487967826685821</v>
      </c>
      <c r="L15" s="78">
        <f t="shared" si="105"/>
        <v>210828.32965524754</v>
      </c>
      <c r="M15" s="74">
        <f t="shared" si="106"/>
        <v>0.25934987303815088</v>
      </c>
      <c r="N15" s="29" t="s">
        <v>8</v>
      </c>
      <c r="O15" s="32">
        <f t="shared" si="107"/>
        <v>9.1046621450491139E-2</v>
      </c>
      <c r="P15" s="33">
        <f t="shared" si="108"/>
        <v>899913.19931618229</v>
      </c>
      <c r="Q15" s="81">
        <f t="shared" si="109"/>
        <v>899913.19931618229</v>
      </c>
      <c r="R15" s="152" t="s">
        <v>8</v>
      </c>
      <c r="S15" s="29" t="s">
        <v>8</v>
      </c>
      <c r="T15" s="34">
        <f t="shared" si="110"/>
        <v>0.36380002592098909</v>
      </c>
      <c r="U15" s="32">
        <f t="shared" si="111"/>
        <v>8.7597840144729544E-2</v>
      </c>
      <c r="V15" s="54">
        <f t="shared" si="112"/>
        <v>1161982.329435854</v>
      </c>
      <c r="W15" s="81">
        <f t="shared" si="113"/>
        <v>1161982.329435854</v>
      </c>
      <c r="X15" s="77" t="s">
        <v>8</v>
      </c>
      <c r="Y15" s="29" t="s">
        <v>8</v>
      </c>
      <c r="Z15" s="34">
        <f t="shared" si="114"/>
        <v>0.49866773543892523</v>
      </c>
      <c r="AA15" s="32">
        <f t="shared" si="115"/>
        <v>6.4355513431289368E-2</v>
      </c>
      <c r="AB15" s="54">
        <f t="shared" si="116"/>
        <v>1107828.8484856284</v>
      </c>
      <c r="AC15" s="81">
        <f t="shared" si="117"/>
        <v>1107828.8484856284</v>
      </c>
      <c r="AD15" s="77" t="s">
        <v>8</v>
      </c>
      <c r="AE15" s="29" t="s">
        <v>8</v>
      </c>
      <c r="AF15" s="34">
        <f t="shared" si="118"/>
        <v>0.62725001724151408</v>
      </c>
      <c r="AG15" s="32">
        <f t="shared" si="119"/>
        <v>4.6319736182995785E-2</v>
      </c>
      <c r="AH15" s="54">
        <f t="shared" si="120"/>
        <v>975990.40420384868</v>
      </c>
      <c r="AI15" s="81">
        <f t="shared" si="121"/>
        <v>67314.584625893156</v>
      </c>
      <c r="AJ15" s="77" t="s">
        <v>8</v>
      </c>
      <c r="AK15" s="29" t="s">
        <v>8</v>
      </c>
      <c r="AL15" s="34">
        <f t="shared" si="122"/>
        <v>0.63506301371802076</v>
      </c>
      <c r="AM15" s="32">
        <f t="shared" si="123"/>
        <v>4.4970621149541534E-2</v>
      </c>
      <c r="AN15" s="54">
        <f t="shared" si="124"/>
        <v>957849.40750806185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0.63506301371802076</v>
      </c>
      <c r="AS15" s="32">
        <f t="shared" si="127"/>
        <v>4.4970621149541534E-2</v>
      </c>
      <c r="AT15" s="54">
        <f t="shared" si="128"/>
        <v>957849.40750806185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0.63506301371802076</v>
      </c>
      <c r="AY15" s="32">
        <f t="shared" si="131"/>
        <v>4.4970621149541534E-2</v>
      </c>
      <c r="AZ15" s="54">
        <f t="shared" si="132"/>
        <v>957849.40750806185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0.63506301371802076</v>
      </c>
      <c r="BE15" s="32">
        <f t="shared" si="135"/>
        <v>4.4970621149541534E-2</v>
      </c>
      <c r="BF15" s="54">
        <f t="shared" si="136"/>
        <v>957849.40750806185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0.63506301371802076</v>
      </c>
      <c r="BK15" s="32">
        <f t="shared" si="139"/>
        <v>4.4970621149541534E-2</v>
      </c>
      <c r="BL15" s="54">
        <f t="shared" si="140"/>
        <v>957849.40750806185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0.63506301371802076</v>
      </c>
      <c r="BQ15" s="32">
        <f t="shared" si="143"/>
        <v>4.4970621149541534E-2</v>
      </c>
      <c r="BR15" s="54">
        <f t="shared" si="144"/>
        <v>957849.40750806185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0.63506301371802076</v>
      </c>
      <c r="BW15" s="32">
        <f t="shared" si="147"/>
        <v>4.4970621149541534E-2</v>
      </c>
      <c r="BX15" s="54">
        <f t="shared" si="148"/>
        <v>957849.40750806185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0.63506301371802076</v>
      </c>
      <c r="CC15" s="32">
        <f t="shared" si="151"/>
        <v>4.4970621149541534E-2</v>
      </c>
      <c r="CD15" s="54">
        <f t="shared" si="152"/>
        <v>957849.40750806185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0.63506301371802076</v>
      </c>
      <c r="CI15" s="32">
        <f t="shared" si="155"/>
        <v>4.4970621149541534E-2</v>
      </c>
      <c r="CJ15" s="54">
        <f t="shared" si="156"/>
        <v>957849.40750806185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0.63506301371802076</v>
      </c>
      <c r="CO15" s="32">
        <f t="shared" si="159"/>
        <v>4.4970621149541534E-2</v>
      </c>
      <c r="CP15" s="54">
        <f t="shared" si="160"/>
        <v>957849.40750806185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0.63506301371802076</v>
      </c>
      <c r="CU15" s="32">
        <f t="shared" si="163"/>
        <v>4.4970621149541534E-2</v>
      </c>
      <c r="CV15" s="54">
        <f t="shared" si="164"/>
        <v>957849.40750806185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0.63506301371802076</v>
      </c>
      <c r="DA15" s="32">
        <f t="shared" si="167"/>
        <v>4.4970621149541534E-2</v>
      </c>
      <c r="DB15" s="54">
        <f t="shared" si="168"/>
        <v>957849.40750806185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0.63506301371802076</v>
      </c>
      <c r="DG15" s="32">
        <f t="shared" si="171"/>
        <v>4.4970621149541534E-2</v>
      </c>
      <c r="DH15" s="54">
        <f t="shared" si="172"/>
        <v>957849.40750806185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0.63506301371802076</v>
      </c>
      <c r="DM15" s="32">
        <f t="shared" si="175"/>
        <v>4.4970621149541534E-2</v>
      </c>
      <c r="DN15" s="54">
        <f t="shared" si="176"/>
        <v>957849.40750806185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0.63506301371802076</v>
      </c>
      <c r="DS15" s="32">
        <f t="shared" si="179"/>
        <v>4.4970621149541534E-2</v>
      </c>
      <c r="DT15" s="54">
        <f t="shared" si="180"/>
        <v>957849.40750806185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0.63506301371802076</v>
      </c>
      <c r="DY15" s="32">
        <f t="shared" si="183"/>
        <v>4.4970621149541534E-2</v>
      </c>
      <c r="DZ15" s="33">
        <f t="shared" si="184"/>
        <v>957849.40750806185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0.63506301371802076</v>
      </c>
      <c r="EE15" s="32">
        <f t="shared" si="187"/>
        <v>4.4970621149541534E-2</v>
      </c>
      <c r="EF15" s="33">
        <f t="shared" si="188"/>
        <v>957849.40750806185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0.63506301371802076</v>
      </c>
      <c r="EK15" s="32">
        <f t="shared" si="191"/>
        <v>4.4970621149541534E-2</v>
      </c>
      <c r="EL15" s="33">
        <f t="shared" si="192"/>
        <v>957849.40750806185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0.63506301371802076</v>
      </c>
      <c r="EQ15" s="32">
        <f t="shared" si="195"/>
        <v>4.4970621149541534E-2</v>
      </c>
      <c r="ER15" s="33">
        <f t="shared" si="196"/>
        <v>957849.40750806185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0.63506301371802076</v>
      </c>
      <c r="EW15" s="32">
        <f t="shared" si="199"/>
        <v>4.4970621149541534E-2</v>
      </c>
      <c r="EX15" s="33">
        <f t="shared" si="200"/>
        <v>957849.40750806185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0.63506301371802076</v>
      </c>
      <c r="FC15" s="32">
        <f t="shared" si="203"/>
        <v>4.4970621149541534E-2</v>
      </c>
      <c r="FD15" s="33">
        <f t="shared" si="204"/>
        <v>957849.40750806185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0.63506301371802076</v>
      </c>
      <c r="FI15" s="32">
        <f t="shared" si="207"/>
        <v>4.4970621149541534E-2</v>
      </c>
      <c r="FJ15" s="33">
        <f t="shared" si="208"/>
        <v>957849.40750806185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0.63506301371802076</v>
      </c>
      <c r="FO15" s="32">
        <f t="shared" si="211"/>
        <v>4.4970621149541534E-2</v>
      </c>
      <c r="FP15" s="33">
        <f t="shared" si="212"/>
        <v>957849.40750806185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0.63506301371802076</v>
      </c>
      <c r="FU15" s="32">
        <f t="shared" si="215"/>
        <v>4.4970621149541534E-2</v>
      </c>
      <c r="FV15" s="33">
        <f t="shared" si="216"/>
        <v>957849.40750806185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0.63506301371802076</v>
      </c>
      <c r="GA15" s="32">
        <f t="shared" si="219"/>
        <v>4.4970621149541534E-2</v>
      </c>
      <c r="GB15" s="33">
        <f t="shared" si="220"/>
        <v>957849.40750806185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0.63506301371802076</v>
      </c>
      <c r="GG15" s="32">
        <f t="shared" si="223"/>
        <v>4.4970621149541534E-2</v>
      </c>
      <c r="GH15" s="33">
        <f t="shared" si="224"/>
        <v>957849.40750806185</v>
      </c>
      <c r="GI15" s="132">
        <f t="shared" si="225"/>
        <v>0</v>
      </c>
      <c r="GJ15" s="157">
        <f t="shared" si="228"/>
        <v>3237038.9618635578</v>
      </c>
      <c r="GK15" s="251">
        <f t="shared" si="226"/>
        <v>3447867.2915188055</v>
      </c>
      <c r="GL15" s="182">
        <f t="shared" si="227"/>
        <v>0.63506301371802087</v>
      </c>
    </row>
    <row r="16" spans="1:195" s="24" customFormat="1" ht="31.8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875306</v>
      </c>
      <c r="I16" s="31">
        <f>'Расчет КРП'!G14</f>
        <v>5.5685779631875985</v>
      </c>
      <c r="J16" s="117" t="s">
        <v>8</v>
      </c>
      <c r="K16" s="121">
        <f t="shared" si="104"/>
        <v>0.19137927890854528</v>
      </c>
      <c r="L16" s="78">
        <f t="shared" si="105"/>
        <v>120913.86111867546</v>
      </c>
      <c r="M16" s="74">
        <f t="shared" si="106"/>
        <v>0.21781621359303291</v>
      </c>
      <c r="N16" s="29" t="s">
        <v>8</v>
      </c>
      <c r="O16" s="32">
        <f t="shared" si="107"/>
        <v>0.13258028089560911</v>
      </c>
      <c r="P16" s="33">
        <f t="shared" si="108"/>
        <v>695647.4086847849</v>
      </c>
      <c r="Q16" s="81">
        <f t="shared" si="109"/>
        <v>695647.4086847849</v>
      </c>
      <c r="R16" s="152" t="s">
        <v>8</v>
      </c>
      <c r="S16" s="29" t="s">
        <v>8</v>
      </c>
      <c r="T16" s="34">
        <f t="shared" si="110"/>
        <v>0.36991445060807926</v>
      </c>
      <c r="U16" s="32">
        <f t="shared" si="111"/>
        <v>8.1483415457639374E-2</v>
      </c>
      <c r="V16" s="54">
        <f t="shared" si="112"/>
        <v>573784.48375740659</v>
      </c>
      <c r="W16" s="81">
        <f t="shared" si="113"/>
        <v>573784.48375740659</v>
      </c>
      <c r="X16" s="77" t="s">
        <v>8</v>
      </c>
      <c r="Y16" s="29" t="s">
        <v>8</v>
      </c>
      <c r="Z16" s="34">
        <f t="shared" si="114"/>
        <v>0.4953682470522992</v>
      </c>
      <c r="AA16" s="32">
        <f t="shared" si="115"/>
        <v>6.7655001817915394E-2</v>
      </c>
      <c r="AB16" s="54">
        <f t="shared" si="116"/>
        <v>618244.51289874967</v>
      </c>
      <c r="AC16" s="81">
        <f t="shared" si="117"/>
        <v>618244.51289874967</v>
      </c>
      <c r="AD16" s="77" t="s">
        <v>8</v>
      </c>
      <c r="AE16" s="29" t="s">
        <v>8</v>
      </c>
      <c r="AF16" s="34">
        <f t="shared" si="118"/>
        <v>0.63054290490649822</v>
      </c>
      <c r="AG16" s="32">
        <f t="shared" si="119"/>
        <v>4.302684851801164E-2</v>
      </c>
      <c r="AH16" s="54">
        <f t="shared" si="120"/>
        <v>481274.06383096357</v>
      </c>
      <c r="AI16" s="81">
        <f t="shared" si="121"/>
        <v>33193.731781025177</v>
      </c>
      <c r="AJ16" s="77" t="s">
        <v>8</v>
      </c>
      <c r="AK16" s="29" t="s">
        <v>8</v>
      </c>
      <c r="AL16" s="34">
        <f t="shared" si="122"/>
        <v>0.63780047249147565</v>
      </c>
      <c r="AM16" s="32">
        <f t="shared" si="123"/>
        <v>4.2233162376086653E-2</v>
      </c>
      <c r="AN16" s="54">
        <f t="shared" si="124"/>
        <v>477524.21644274233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0.63780047249147565</v>
      </c>
      <c r="AS16" s="32">
        <f t="shared" si="127"/>
        <v>4.2233162376086653E-2</v>
      </c>
      <c r="AT16" s="54">
        <f t="shared" si="128"/>
        <v>477524.21644274233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0.63780047249147565</v>
      </c>
      <c r="AY16" s="32">
        <f t="shared" si="131"/>
        <v>4.2233162376086653E-2</v>
      </c>
      <c r="AZ16" s="54">
        <f t="shared" si="132"/>
        <v>477524.21644274233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0.63780047249147565</v>
      </c>
      <c r="BE16" s="32">
        <f t="shared" si="135"/>
        <v>4.2233162376086653E-2</v>
      </c>
      <c r="BF16" s="54">
        <f t="shared" si="136"/>
        <v>477524.21644274233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0.63780047249147565</v>
      </c>
      <c r="BK16" s="32">
        <f t="shared" si="139"/>
        <v>4.2233162376086653E-2</v>
      </c>
      <c r="BL16" s="54">
        <f t="shared" si="140"/>
        <v>477524.21644274233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0.63780047249147565</v>
      </c>
      <c r="BQ16" s="32">
        <f t="shared" si="143"/>
        <v>4.2233162376086653E-2</v>
      </c>
      <c r="BR16" s="54">
        <f t="shared" si="144"/>
        <v>477524.21644274233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0.63780047249147565</v>
      </c>
      <c r="BW16" s="32">
        <f t="shared" si="147"/>
        <v>4.2233162376086653E-2</v>
      </c>
      <c r="BX16" s="54">
        <f t="shared" si="148"/>
        <v>477524.21644274233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0.63780047249147565</v>
      </c>
      <c r="CC16" s="32">
        <f t="shared" si="151"/>
        <v>4.2233162376086653E-2</v>
      </c>
      <c r="CD16" s="54">
        <f t="shared" si="152"/>
        <v>477524.21644274233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0.63780047249147565</v>
      </c>
      <c r="CI16" s="32">
        <f t="shared" si="155"/>
        <v>4.2233162376086653E-2</v>
      </c>
      <c r="CJ16" s="54">
        <f t="shared" si="156"/>
        <v>477524.21644274233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0.63780047249147565</v>
      </c>
      <c r="CO16" s="32">
        <f t="shared" si="159"/>
        <v>4.2233162376086653E-2</v>
      </c>
      <c r="CP16" s="54">
        <f t="shared" si="160"/>
        <v>477524.21644274233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0.63780047249147565</v>
      </c>
      <c r="CU16" s="32">
        <f t="shared" si="163"/>
        <v>4.2233162376086653E-2</v>
      </c>
      <c r="CV16" s="54">
        <f t="shared" si="164"/>
        <v>477524.21644274233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0.63780047249147565</v>
      </c>
      <c r="DA16" s="32">
        <f t="shared" si="167"/>
        <v>4.2233162376086653E-2</v>
      </c>
      <c r="DB16" s="54">
        <f t="shared" si="168"/>
        <v>477524.21644274233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0.63780047249147565</v>
      </c>
      <c r="DG16" s="32">
        <f t="shared" si="171"/>
        <v>4.2233162376086653E-2</v>
      </c>
      <c r="DH16" s="54">
        <f t="shared" si="172"/>
        <v>477524.21644274233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0.63780047249147565</v>
      </c>
      <c r="DM16" s="32">
        <f t="shared" si="175"/>
        <v>4.2233162376086653E-2</v>
      </c>
      <c r="DN16" s="54">
        <f t="shared" si="176"/>
        <v>477524.21644274233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0.63780047249147565</v>
      </c>
      <c r="DS16" s="32">
        <f t="shared" si="179"/>
        <v>4.2233162376086653E-2</v>
      </c>
      <c r="DT16" s="54">
        <f t="shared" si="180"/>
        <v>477524.21644274233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0.63780047249147565</v>
      </c>
      <c r="DY16" s="32">
        <f t="shared" si="183"/>
        <v>4.2233162376086653E-2</v>
      </c>
      <c r="DZ16" s="33">
        <f t="shared" si="184"/>
        <v>477524.21644274233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0.63780047249147565</v>
      </c>
      <c r="EE16" s="32">
        <f t="shared" si="187"/>
        <v>4.2233162376086653E-2</v>
      </c>
      <c r="EF16" s="33">
        <f t="shared" si="188"/>
        <v>477524.21644274233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0.63780047249147565</v>
      </c>
      <c r="EK16" s="32">
        <f t="shared" si="191"/>
        <v>4.2233162376086653E-2</v>
      </c>
      <c r="EL16" s="33">
        <f t="shared" si="192"/>
        <v>477524.21644274233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0.63780047249147565</v>
      </c>
      <c r="EQ16" s="32">
        <f t="shared" si="195"/>
        <v>4.2233162376086653E-2</v>
      </c>
      <c r="ER16" s="33">
        <f t="shared" si="196"/>
        <v>477524.21644274233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0.63780047249147565</v>
      </c>
      <c r="EW16" s="32">
        <f t="shared" si="199"/>
        <v>4.2233162376086653E-2</v>
      </c>
      <c r="EX16" s="33">
        <f t="shared" si="200"/>
        <v>477524.21644274233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0.63780047249147565</v>
      </c>
      <c r="FC16" s="32">
        <f t="shared" si="203"/>
        <v>4.2233162376086653E-2</v>
      </c>
      <c r="FD16" s="33">
        <f t="shared" si="204"/>
        <v>477524.21644274233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0.63780047249147565</v>
      </c>
      <c r="FI16" s="32">
        <f t="shared" si="207"/>
        <v>4.2233162376086653E-2</v>
      </c>
      <c r="FJ16" s="33">
        <f t="shared" si="208"/>
        <v>477524.21644274233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0.63780047249147565</v>
      </c>
      <c r="FO16" s="32">
        <f t="shared" si="211"/>
        <v>4.2233162376086653E-2</v>
      </c>
      <c r="FP16" s="33">
        <f t="shared" si="212"/>
        <v>477524.21644274233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0.63780047249147565</v>
      </c>
      <c r="FU16" s="32">
        <f t="shared" si="215"/>
        <v>4.2233162376086653E-2</v>
      </c>
      <c r="FV16" s="33">
        <f t="shared" si="216"/>
        <v>477524.21644274233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0.63780047249147565</v>
      </c>
      <c r="GA16" s="32">
        <f t="shared" si="219"/>
        <v>4.2233162376086653E-2</v>
      </c>
      <c r="GB16" s="33">
        <f t="shared" si="220"/>
        <v>477524.21644274233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0.63780047249147565</v>
      </c>
      <c r="GG16" s="32">
        <f t="shared" si="223"/>
        <v>4.2233162376086653E-2</v>
      </c>
      <c r="GH16" s="33">
        <f t="shared" si="224"/>
        <v>477524.21644274233</v>
      </c>
      <c r="GI16" s="132">
        <f t="shared" si="225"/>
        <v>0</v>
      </c>
      <c r="GJ16" s="157">
        <f t="shared" si="228"/>
        <v>1920870.1371219663</v>
      </c>
      <c r="GK16" s="251">
        <f t="shared" si="226"/>
        <v>2041783.9982406418</v>
      </c>
      <c r="GL16" s="182">
        <f t="shared" si="227"/>
        <v>0.63780047249147565</v>
      </c>
    </row>
    <row r="17" spans="1:194" s="24" customFormat="1" ht="16.2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484</v>
      </c>
      <c r="H17" s="30">
        <f>'Исходные данные'!D19</f>
        <v>550167.4</v>
      </c>
      <c r="I17" s="31">
        <f>'Расчет КРП'!G15</f>
        <v>4.3934702636602818</v>
      </c>
      <c r="J17" s="117" t="s">
        <v>8</v>
      </c>
      <c r="K17" s="121">
        <f t="shared" si="104"/>
        <v>0.23468070567806826</v>
      </c>
      <c r="L17" s="78">
        <f t="shared" si="105"/>
        <v>78553.434605958289</v>
      </c>
      <c r="M17" s="74">
        <f t="shared" si="106"/>
        <v>0.2681886442923197</v>
      </c>
      <c r="N17" s="29" t="s">
        <v>8</v>
      </c>
      <c r="O17" s="32">
        <f t="shared" si="107"/>
        <v>8.2207850196322318E-2</v>
      </c>
      <c r="P17" s="33">
        <f t="shared" si="108"/>
        <v>221093.51480559638</v>
      </c>
      <c r="Q17" s="81">
        <f t="shared" si="109"/>
        <v>221093.51480559638</v>
      </c>
      <c r="R17" s="152" t="s">
        <v>8</v>
      </c>
      <c r="S17" s="29" t="s">
        <v>8</v>
      </c>
      <c r="T17" s="34">
        <f t="shared" si="110"/>
        <v>0.36249881620621677</v>
      </c>
      <c r="U17" s="32">
        <f t="shared" si="111"/>
        <v>8.8899049859501866E-2</v>
      </c>
      <c r="V17" s="54">
        <f t="shared" si="112"/>
        <v>320870.04148887319</v>
      </c>
      <c r="W17" s="81">
        <f t="shared" si="113"/>
        <v>320870.04148887319</v>
      </c>
      <c r="X17" s="77" t="s">
        <v>8</v>
      </c>
      <c r="Y17" s="29" t="s">
        <v>8</v>
      </c>
      <c r="Z17" s="34">
        <f t="shared" si="114"/>
        <v>0.49936989902130147</v>
      </c>
      <c r="AA17" s="32">
        <f t="shared" si="115"/>
        <v>6.3653349848913132E-2</v>
      </c>
      <c r="AB17" s="54">
        <f t="shared" si="116"/>
        <v>298149.51023590361</v>
      </c>
      <c r="AC17" s="81">
        <f t="shared" si="117"/>
        <v>298149.51023590361</v>
      </c>
      <c r="AD17" s="77" t="s">
        <v>8</v>
      </c>
      <c r="AE17" s="29" t="s">
        <v>8</v>
      </c>
      <c r="AF17" s="34">
        <f t="shared" si="118"/>
        <v>0.62654925835762765</v>
      </c>
      <c r="AG17" s="32">
        <f t="shared" si="119"/>
        <v>4.7020495066882217E-2</v>
      </c>
      <c r="AH17" s="54">
        <f t="shared" si="120"/>
        <v>269583.05684967322</v>
      </c>
      <c r="AI17" s="81">
        <f t="shared" si="121"/>
        <v>18593.288843671948</v>
      </c>
      <c r="AJ17" s="77" t="s">
        <v>8</v>
      </c>
      <c r="AK17" s="29" t="s">
        <v>8</v>
      </c>
      <c r="AL17" s="34">
        <f t="shared" si="122"/>
        <v>0.63448045556543942</v>
      </c>
      <c r="AM17" s="32">
        <f t="shared" si="123"/>
        <v>4.5553179302122881E-2</v>
      </c>
      <c r="AN17" s="54">
        <f t="shared" si="124"/>
        <v>264005.49565794622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0.63448045556543942</v>
      </c>
      <c r="AS17" s="32">
        <f t="shared" si="127"/>
        <v>4.5553179302122881E-2</v>
      </c>
      <c r="AT17" s="54">
        <f t="shared" si="128"/>
        <v>264005.49565794622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0.63448045556543942</v>
      </c>
      <c r="AY17" s="32">
        <f t="shared" si="131"/>
        <v>4.5553179302122881E-2</v>
      </c>
      <c r="AZ17" s="54">
        <f t="shared" si="132"/>
        <v>264005.49565794622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0.63448045556543942</v>
      </c>
      <c r="BE17" s="32">
        <f t="shared" si="135"/>
        <v>4.5553179302122881E-2</v>
      </c>
      <c r="BF17" s="54">
        <f t="shared" si="136"/>
        <v>264005.49565794622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0.63448045556543942</v>
      </c>
      <c r="BK17" s="32">
        <f t="shared" si="139"/>
        <v>4.5553179302122881E-2</v>
      </c>
      <c r="BL17" s="54">
        <f t="shared" si="140"/>
        <v>264005.49565794622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0.63448045556543942</v>
      </c>
      <c r="BQ17" s="32">
        <f t="shared" si="143"/>
        <v>4.5553179302122881E-2</v>
      </c>
      <c r="BR17" s="54">
        <f t="shared" si="144"/>
        <v>264005.49565794622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0.63448045556543942</v>
      </c>
      <c r="BW17" s="32">
        <f t="shared" si="147"/>
        <v>4.5553179302122881E-2</v>
      </c>
      <c r="BX17" s="54">
        <f t="shared" si="148"/>
        <v>264005.49565794622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0.63448045556543942</v>
      </c>
      <c r="CC17" s="32">
        <f t="shared" si="151"/>
        <v>4.5553179302122881E-2</v>
      </c>
      <c r="CD17" s="54">
        <f t="shared" si="152"/>
        <v>264005.49565794622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0.63448045556543942</v>
      </c>
      <c r="CI17" s="32">
        <f t="shared" si="155"/>
        <v>4.5553179302122881E-2</v>
      </c>
      <c r="CJ17" s="54">
        <f t="shared" si="156"/>
        <v>264005.49565794622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0.63448045556543942</v>
      </c>
      <c r="CO17" s="32">
        <f t="shared" si="159"/>
        <v>4.5553179302122881E-2</v>
      </c>
      <c r="CP17" s="54">
        <f t="shared" si="160"/>
        <v>264005.49565794622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0.63448045556543942</v>
      </c>
      <c r="CU17" s="32">
        <f t="shared" si="163"/>
        <v>4.5553179302122881E-2</v>
      </c>
      <c r="CV17" s="54">
        <f t="shared" si="164"/>
        <v>264005.49565794622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0.63448045556543942</v>
      </c>
      <c r="DA17" s="32">
        <f t="shared" si="167"/>
        <v>4.5553179302122881E-2</v>
      </c>
      <c r="DB17" s="54">
        <f t="shared" si="168"/>
        <v>264005.49565794622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0.63448045556543942</v>
      </c>
      <c r="DG17" s="32">
        <f t="shared" si="171"/>
        <v>4.5553179302122881E-2</v>
      </c>
      <c r="DH17" s="54">
        <f t="shared" si="172"/>
        <v>264005.49565794622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0.63448045556543942</v>
      </c>
      <c r="DM17" s="32">
        <f t="shared" si="175"/>
        <v>4.5553179302122881E-2</v>
      </c>
      <c r="DN17" s="54">
        <f t="shared" si="176"/>
        <v>264005.49565794622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0.63448045556543942</v>
      </c>
      <c r="DS17" s="32">
        <f t="shared" si="179"/>
        <v>4.5553179302122881E-2</v>
      </c>
      <c r="DT17" s="54">
        <f t="shared" si="180"/>
        <v>264005.49565794622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0.63448045556543942</v>
      </c>
      <c r="DY17" s="32">
        <f t="shared" si="183"/>
        <v>4.5553179302122881E-2</v>
      </c>
      <c r="DZ17" s="33">
        <f t="shared" si="184"/>
        <v>264005.49565794622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0.63448045556543942</v>
      </c>
      <c r="EE17" s="32">
        <f t="shared" si="187"/>
        <v>4.5553179302122881E-2</v>
      </c>
      <c r="EF17" s="33">
        <f t="shared" si="188"/>
        <v>264005.49565794622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0.63448045556543942</v>
      </c>
      <c r="EK17" s="32">
        <f t="shared" si="191"/>
        <v>4.5553179302122881E-2</v>
      </c>
      <c r="EL17" s="33">
        <f t="shared" si="192"/>
        <v>264005.49565794622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0.63448045556543942</v>
      </c>
      <c r="EQ17" s="32">
        <f t="shared" si="195"/>
        <v>4.5553179302122881E-2</v>
      </c>
      <c r="ER17" s="33">
        <f t="shared" si="196"/>
        <v>264005.49565794622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0.63448045556543942</v>
      </c>
      <c r="EW17" s="32">
        <f t="shared" si="199"/>
        <v>4.5553179302122881E-2</v>
      </c>
      <c r="EX17" s="33">
        <f t="shared" si="200"/>
        <v>264005.49565794622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0.63448045556543942</v>
      </c>
      <c r="FC17" s="32">
        <f t="shared" si="203"/>
        <v>4.5553179302122881E-2</v>
      </c>
      <c r="FD17" s="33">
        <f t="shared" si="204"/>
        <v>264005.49565794622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0.63448045556543942</v>
      </c>
      <c r="FI17" s="32">
        <f t="shared" si="207"/>
        <v>4.5553179302122881E-2</v>
      </c>
      <c r="FJ17" s="33">
        <f t="shared" si="208"/>
        <v>264005.49565794622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0.63448045556543942</v>
      </c>
      <c r="FO17" s="32">
        <f t="shared" si="211"/>
        <v>4.5553179302122881E-2</v>
      </c>
      <c r="FP17" s="33">
        <f t="shared" si="212"/>
        <v>264005.49565794622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0.63448045556543942</v>
      </c>
      <c r="FU17" s="32">
        <f t="shared" si="215"/>
        <v>4.5553179302122881E-2</v>
      </c>
      <c r="FV17" s="33">
        <f t="shared" si="216"/>
        <v>264005.49565794622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0.63448045556543942</v>
      </c>
      <c r="GA17" s="32">
        <f t="shared" si="219"/>
        <v>4.5553179302122881E-2</v>
      </c>
      <c r="GB17" s="33">
        <f t="shared" si="220"/>
        <v>264005.49565794622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0.63448045556543942</v>
      </c>
      <c r="GG17" s="32">
        <f t="shared" si="223"/>
        <v>4.5553179302122881E-2</v>
      </c>
      <c r="GH17" s="33">
        <f t="shared" si="224"/>
        <v>264005.49565794622</v>
      </c>
      <c r="GI17" s="132">
        <f t="shared" si="225"/>
        <v>0</v>
      </c>
      <c r="GJ17" s="157">
        <f t="shared" si="228"/>
        <v>858706.35537404509</v>
      </c>
      <c r="GK17" s="251">
        <f t="shared" si="226"/>
        <v>937259.78998000338</v>
      </c>
      <c r="GL17" s="182">
        <f t="shared" si="227"/>
        <v>0.63448045556543942</v>
      </c>
    </row>
    <row r="18" spans="1:194" s="24" customFormat="1" ht="16.2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1057</v>
      </c>
      <c r="H18" s="30">
        <f>'Исходные данные'!D20</f>
        <v>1657525.1</v>
      </c>
      <c r="I18" s="31">
        <f>'Расчет КРП'!G16</f>
        <v>5.0933908975258628</v>
      </c>
      <c r="J18" s="117" t="s">
        <v>8</v>
      </c>
      <c r="K18" s="121">
        <f t="shared" si="104"/>
        <v>0.27926319610483202</v>
      </c>
      <c r="L18" s="78">
        <f t="shared" si="105"/>
        <v>171551.61235226839</v>
      </c>
      <c r="M18" s="74">
        <f t="shared" si="106"/>
        <v>0.30816656026048289</v>
      </c>
      <c r="N18" s="29" t="s">
        <v>8</v>
      </c>
      <c r="O18" s="32">
        <f t="shared" si="107"/>
        <v>4.2229934228159127E-2</v>
      </c>
      <c r="P18" s="33">
        <f t="shared" si="108"/>
        <v>287549.13129407074</v>
      </c>
      <c r="Q18" s="81">
        <f t="shared" si="109"/>
        <v>287549.13129407074</v>
      </c>
      <c r="R18" s="152" t="s">
        <v>8</v>
      </c>
      <c r="S18" s="29" t="s">
        <v>8</v>
      </c>
      <c r="T18" s="34">
        <f t="shared" si="110"/>
        <v>0.35661342205602986</v>
      </c>
      <c r="U18" s="32">
        <f t="shared" si="111"/>
        <v>9.4784444009688773E-2</v>
      </c>
      <c r="V18" s="54">
        <f t="shared" si="112"/>
        <v>866159.87326947285</v>
      </c>
      <c r="W18" s="81">
        <f t="shared" si="113"/>
        <v>866159.87326947285</v>
      </c>
      <c r="X18" s="77" t="s">
        <v>8</v>
      </c>
      <c r="Y18" s="29" t="s">
        <v>8</v>
      </c>
      <c r="Z18" s="34">
        <f t="shared" si="114"/>
        <v>0.50254579710542691</v>
      </c>
      <c r="AA18" s="32">
        <f t="shared" si="115"/>
        <v>6.0477451764787693E-2</v>
      </c>
      <c r="AB18" s="54">
        <f t="shared" si="116"/>
        <v>717191.71219806944</v>
      </c>
      <c r="AC18" s="81">
        <f t="shared" si="117"/>
        <v>717191.71219806944</v>
      </c>
      <c r="AD18" s="77" t="s">
        <v>8</v>
      </c>
      <c r="AE18" s="29" t="s">
        <v>8</v>
      </c>
      <c r="AF18" s="34">
        <f t="shared" si="118"/>
        <v>0.62337971374918066</v>
      </c>
      <c r="AG18" s="32">
        <f t="shared" si="119"/>
        <v>5.0190039675329201E-2</v>
      </c>
      <c r="AH18" s="54">
        <f t="shared" si="120"/>
        <v>728537.44333221402</v>
      </c>
      <c r="AI18" s="81">
        <f t="shared" si="121"/>
        <v>50247.62043877149</v>
      </c>
      <c r="AJ18" s="77" t="s">
        <v>8</v>
      </c>
      <c r="AK18" s="29" t="s">
        <v>8</v>
      </c>
      <c r="AL18" s="34">
        <f t="shared" si="122"/>
        <v>0.63184553491858175</v>
      </c>
      <c r="AM18" s="32">
        <f t="shared" si="123"/>
        <v>4.8188099948980545E-2</v>
      </c>
      <c r="AN18" s="54">
        <f t="shared" si="124"/>
        <v>707070.98953426338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0.63184553491858175</v>
      </c>
      <c r="AS18" s="32">
        <f t="shared" si="127"/>
        <v>4.8188099948980545E-2</v>
      </c>
      <c r="AT18" s="54">
        <f t="shared" si="128"/>
        <v>707070.98953426338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0.63184553491858175</v>
      </c>
      <c r="AY18" s="32">
        <f t="shared" si="131"/>
        <v>4.8188099948980545E-2</v>
      </c>
      <c r="AZ18" s="54">
        <f t="shared" si="132"/>
        <v>707070.98953426338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0.63184553491858175</v>
      </c>
      <c r="BE18" s="32">
        <f t="shared" si="135"/>
        <v>4.8188099948980545E-2</v>
      </c>
      <c r="BF18" s="54">
        <f t="shared" si="136"/>
        <v>707070.98953426338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0.63184553491858175</v>
      </c>
      <c r="BK18" s="32">
        <f t="shared" si="139"/>
        <v>4.8188099948980545E-2</v>
      </c>
      <c r="BL18" s="54">
        <f t="shared" si="140"/>
        <v>707070.98953426338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0.63184553491858175</v>
      </c>
      <c r="BQ18" s="32">
        <f t="shared" si="143"/>
        <v>4.8188099948980545E-2</v>
      </c>
      <c r="BR18" s="54">
        <f t="shared" si="144"/>
        <v>707070.98953426338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0.63184553491858175</v>
      </c>
      <c r="BW18" s="32">
        <f t="shared" si="147"/>
        <v>4.8188099948980545E-2</v>
      </c>
      <c r="BX18" s="54">
        <f t="shared" si="148"/>
        <v>707070.98953426338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0.63184553491858175</v>
      </c>
      <c r="CC18" s="32">
        <f t="shared" si="151"/>
        <v>4.8188099948980545E-2</v>
      </c>
      <c r="CD18" s="54">
        <f t="shared" si="152"/>
        <v>707070.98953426338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0.63184553491858175</v>
      </c>
      <c r="CI18" s="32">
        <f t="shared" si="155"/>
        <v>4.8188099948980545E-2</v>
      </c>
      <c r="CJ18" s="54">
        <f t="shared" si="156"/>
        <v>707070.98953426338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0.63184553491858175</v>
      </c>
      <c r="CO18" s="32">
        <f t="shared" si="159"/>
        <v>4.8188099948980545E-2</v>
      </c>
      <c r="CP18" s="54">
        <f t="shared" si="160"/>
        <v>707070.98953426338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0.63184553491858175</v>
      </c>
      <c r="CU18" s="32">
        <f t="shared" si="163"/>
        <v>4.8188099948980545E-2</v>
      </c>
      <c r="CV18" s="54">
        <f t="shared" si="164"/>
        <v>707070.98953426338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0.63184553491858175</v>
      </c>
      <c r="DA18" s="32">
        <f t="shared" si="167"/>
        <v>4.8188099948980545E-2</v>
      </c>
      <c r="DB18" s="54">
        <f t="shared" si="168"/>
        <v>707070.98953426338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0.63184553491858175</v>
      </c>
      <c r="DG18" s="32">
        <f t="shared" si="171"/>
        <v>4.8188099948980545E-2</v>
      </c>
      <c r="DH18" s="54">
        <f t="shared" si="172"/>
        <v>707070.98953426338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0.63184553491858175</v>
      </c>
      <c r="DM18" s="32">
        <f t="shared" si="175"/>
        <v>4.8188099948980545E-2</v>
      </c>
      <c r="DN18" s="54">
        <f t="shared" si="176"/>
        <v>707070.98953426338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0.63184553491858175</v>
      </c>
      <c r="DS18" s="32">
        <f t="shared" si="179"/>
        <v>4.8188099948980545E-2</v>
      </c>
      <c r="DT18" s="54">
        <f t="shared" si="180"/>
        <v>707070.98953426338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0.63184553491858175</v>
      </c>
      <c r="DY18" s="32">
        <f t="shared" si="183"/>
        <v>4.8188099948980545E-2</v>
      </c>
      <c r="DZ18" s="33">
        <f t="shared" si="184"/>
        <v>707070.98953426338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0.63184553491858175</v>
      </c>
      <c r="EE18" s="32">
        <f t="shared" si="187"/>
        <v>4.8188099948980545E-2</v>
      </c>
      <c r="EF18" s="33">
        <f t="shared" si="188"/>
        <v>707070.98953426338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0.63184553491858175</v>
      </c>
      <c r="EK18" s="32">
        <f t="shared" si="191"/>
        <v>4.8188099948980545E-2</v>
      </c>
      <c r="EL18" s="33">
        <f t="shared" si="192"/>
        <v>707070.98953426338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0.63184553491858175</v>
      </c>
      <c r="EQ18" s="32">
        <f t="shared" si="195"/>
        <v>4.8188099948980545E-2</v>
      </c>
      <c r="ER18" s="33">
        <f t="shared" si="196"/>
        <v>707070.98953426338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0.63184553491858175</v>
      </c>
      <c r="EW18" s="32">
        <f t="shared" si="199"/>
        <v>4.8188099948980545E-2</v>
      </c>
      <c r="EX18" s="33">
        <f t="shared" si="200"/>
        <v>707070.98953426338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0.63184553491858175</v>
      </c>
      <c r="FC18" s="32">
        <f t="shared" si="203"/>
        <v>4.8188099948980545E-2</v>
      </c>
      <c r="FD18" s="33">
        <f t="shared" si="204"/>
        <v>707070.98953426338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0.63184553491858175</v>
      </c>
      <c r="FI18" s="32">
        <f t="shared" si="207"/>
        <v>4.8188099948980545E-2</v>
      </c>
      <c r="FJ18" s="33">
        <f t="shared" si="208"/>
        <v>707070.98953426338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0.63184553491858175</v>
      </c>
      <c r="FO18" s="32">
        <f t="shared" si="211"/>
        <v>4.8188099948980545E-2</v>
      </c>
      <c r="FP18" s="33">
        <f t="shared" si="212"/>
        <v>707070.98953426338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0.63184553491858175</v>
      </c>
      <c r="FU18" s="32">
        <f t="shared" si="215"/>
        <v>4.8188099948980545E-2</v>
      </c>
      <c r="FV18" s="33">
        <f t="shared" si="216"/>
        <v>707070.98953426338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0.63184553491858175</v>
      </c>
      <c r="GA18" s="32">
        <f t="shared" si="219"/>
        <v>4.8188099948980545E-2</v>
      </c>
      <c r="GB18" s="33">
        <f t="shared" si="220"/>
        <v>707070.98953426338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0.63184553491858175</v>
      </c>
      <c r="GG18" s="32">
        <f t="shared" si="223"/>
        <v>4.8188099948980545E-2</v>
      </c>
      <c r="GH18" s="33">
        <f t="shared" si="224"/>
        <v>707070.98953426338</v>
      </c>
      <c r="GI18" s="132">
        <f t="shared" si="225"/>
        <v>0</v>
      </c>
      <c r="GJ18" s="157">
        <f t="shared" si="228"/>
        <v>1921148.3372003844</v>
      </c>
      <c r="GK18" s="251">
        <f t="shared" si="226"/>
        <v>2092699.9495526527</v>
      </c>
      <c r="GL18" s="182">
        <f t="shared" si="227"/>
        <v>0.63184553491858186</v>
      </c>
    </row>
    <row r="19" spans="1:194" s="24" customFormat="1" ht="16.2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1601</v>
      </c>
      <c r="H19" s="30">
        <f>'Исходные данные'!D21</f>
        <v>1848415.89</v>
      </c>
      <c r="I19" s="31">
        <f>'Расчет КРП'!G17</f>
        <v>4.3435582707686953</v>
      </c>
      <c r="J19" s="117" t="s">
        <v>8</v>
      </c>
      <c r="K19" s="121">
        <f t="shared" si="104"/>
        <v>0.24110060203121547</v>
      </c>
      <c r="L19" s="78">
        <f t="shared" si="105"/>
        <v>259843.07604160998</v>
      </c>
      <c r="M19" s="74">
        <f t="shared" si="106"/>
        <v>0.27499358163943283</v>
      </c>
      <c r="N19" s="29" t="s">
        <v>8</v>
      </c>
      <c r="O19" s="32">
        <f t="shared" si="107"/>
        <v>7.5402912849209192E-2</v>
      </c>
      <c r="P19" s="33">
        <f t="shared" si="108"/>
        <v>663185.11034519144</v>
      </c>
      <c r="Q19" s="81">
        <f t="shared" si="109"/>
        <v>663185.11034519144</v>
      </c>
      <c r="R19" s="152" t="s">
        <v>8</v>
      </c>
      <c r="S19" s="29" t="s">
        <v>8</v>
      </c>
      <c r="T19" s="34">
        <f t="shared" si="110"/>
        <v>0.36149701965216474</v>
      </c>
      <c r="U19" s="32">
        <f t="shared" si="111"/>
        <v>8.9900846413553892E-2</v>
      </c>
      <c r="V19" s="54">
        <f t="shared" si="112"/>
        <v>1061157.2921724156</v>
      </c>
      <c r="W19" s="81">
        <f t="shared" si="113"/>
        <v>1061157.2921724156</v>
      </c>
      <c r="X19" s="77" t="s">
        <v>8</v>
      </c>
      <c r="Y19" s="29" t="s">
        <v>8</v>
      </c>
      <c r="Z19" s="34">
        <f t="shared" si="114"/>
        <v>0.49991049217029154</v>
      </c>
      <c r="AA19" s="32">
        <f t="shared" si="115"/>
        <v>6.3112756699923056E-2</v>
      </c>
      <c r="AB19" s="54">
        <f t="shared" si="116"/>
        <v>966749.41410653444</v>
      </c>
      <c r="AC19" s="81">
        <f t="shared" si="117"/>
        <v>966749.41410653444</v>
      </c>
      <c r="AD19" s="77" t="s">
        <v>8</v>
      </c>
      <c r="AE19" s="29" t="s">
        <v>8</v>
      </c>
      <c r="AF19" s="34">
        <f t="shared" si="118"/>
        <v>0.62600974668081744</v>
      </c>
      <c r="AG19" s="32">
        <f t="shared" si="119"/>
        <v>4.7560006743692429E-2</v>
      </c>
      <c r="AH19" s="54">
        <f t="shared" si="120"/>
        <v>891725.60015715961</v>
      </c>
      <c r="AI19" s="81">
        <f t="shared" si="121"/>
        <v>61502.795638467382</v>
      </c>
      <c r="AJ19" s="77" t="s">
        <v>8</v>
      </c>
      <c r="AK19" s="29" t="s">
        <v>8</v>
      </c>
      <c r="AL19" s="34">
        <f t="shared" si="122"/>
        <v>0.63403194619514713</v>
      </c>
      <c r="AM19" s="32">
        <f t="shared" si="123"/>
        <v>4.6001688672415164E-2</v>
      </c>
      <c r="AN19" s="54">
        <f t="shared" si="124"/>
        <v>871870.49277565163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0.63403194619514713</v>
      </c>
      <c r="AS19" s="32">
        <f t="shared" si="127"/>
        <v>4.6001688672415164E-2</v>
      </c>
      <c r="AT19" s="54">
        <f t="shared" si="128"/>
        <v>871870.49277565163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0.63403194619514713</v>
      </c>
      <c r="AY19" s="32">
        <f t="shared" si="131"/>
        <v>4.6001688672415164E-2</v>
      </c>
      <c r="AZ19" s="54">
        <f t="shared" si="132"/>
        <v>871870.49277565163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0.63403194619514713</v>
      </c>
      <c r="BE19" s="32">
        <f t="shared" si="135"/>
        <v>4.6001688672415164E-2</v>
      </c>
      <c r="BF19" s="54">
        <f t="shared" si="136"/>
        <v>871870.49277565163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0.63403194619514713</v>
      </c>
      <c r="BK19" s="32">
        <f t="shared" si="139"/>
        <v>4.6001688672415164E-2</v>
      </c>
      <c r="BL19" s="54">
        <f t="shared" si="140"/>
        <v>871870.49277565163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0.63403194619514713</v>
      </c>
      <c r="BQ19" s="32">
        <f t="shared" si="143"/>
        <v>4.6001688672415164E-2</v>
      </c>
      <c r="BR19" s="54">
        <f t="shared" si="144"/>
        <v>871870.49277565163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0.63403194619514713</v>
      </c>
      <c r="BW19" s="32">
        <f t="shared" si="147"/>
        <v>4.6001688672415164E-2</v>
      </c>
      <c r="BX19" s="54">
        <f t="shared" si="148"/>
        <v>871870.49277565163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0.63403194619514713</v>
      </c>
      <c r="CC19" s="32">
        <f t="shared" si="151"/>
        <v>4.6001688672415164E-2</v>
      </c>
      <c r="CD19" s="54">
        <f t="shared" si="152"/>
        <v>871870.49277565163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0.63403194619514713</v>
      </c>
      <c r="CI19" s="32">
        <f t="shared" si="155"/>
        <v>4.6001688672415164E-2</v>
      </c>
      <c r="CJ19" s="54">
        <f t="shared" si="156"/>
        <v>871870.49277565163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0.63403194619514713</v>
      </c>
      <c r="CO19" s="32">
        <f t="shared" si="159"/>
        <v>4.6001688672415164E-2</v>
      </c>
      <c r="CP19" s="54">
        <f t="shared" si="160"/>
        <v>871870.49277565163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0.63403194619514713</v>
      </c>
      <c r="CU19" s="32">
        <f t="shared" si="163"/>
        <v>4.6001688672415164E-2</v>
      </c>
      <c r="CV19" s="54">
        <f t="shared" si="164"/>
        <v>871870.49277565163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0.63403194619514713</v>
      </c>
      <c r="DA19" s="32">
        <f t="shared" si="167"/>
        <v>4.6001688672415164E-2</v>
      </c>
      <c r="DB19" s="54">
        <f t="shared" si="168"/>
        <v>871870.49277565163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0.63403194619514713</v>
      </c>
      <c r="DG19" s="32">
        <f t="shared" si="171"/>
        <v>4.6001688672415164E-2</v>
      </c>
      <c r="DH19" s="54">
        <f t="shared" si="172"/>
        <v>871870.49277565163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0.63403194619514713</v>
      </c>
      <c r="DM19" s="32">
        <f t="shared" si="175"/>
        <v>4.6001688672415164E-2</v>
      </c>
      <c r="DN19" s="54">
        <f t="shared" si="176"/>
        <v>871870.49277565163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0.63403194619514713</v>
      </c>
      <c r="DS19" s="32">
        <f t="shared" si="179"/>
        <v>4.6001688672415164E-2</v>
      </c>
      <c r="DT19" s="54">
        <f t="shared" si="180"/>
        <v>871870.49277565163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0.63403194619514713</v>
      </c>
      <c r="DY19" s="32">
        <f t="shared" si="183"/>
        <v>4.6001688672415164E-2</v>
      </c>
      <c r="DZ19" s="33">
        <f t="shared" si="184"/>
        <v>871870.49277565163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0.63403194619514713</v>
      </c>
      <c r="EE19" s="32">
        <f t="shared" si="187"/>
        <v>4.6001688672415164E-2</v>
      </c>
      <c r="EF19" s="33">
        <f t="shared" si="188"/>
        <v>871870.49277565163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0.63403194619514713</v>
      </c>
      <c r="EK19" s="32">
        <f t="shared" si="191"/>
        <v>4.6001688672415164E-2</v>
      </c>
      <c r="EL19" s="33">
        <f t="shared" si="192"/>
        <v>871870.49277565163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0.63403194619514713</v>
      </c>
      <c r="EQ19" s="32">
        <f t="shared" si="195"/>
        <v>4.6001688672415164E-2</v>
      </c>
      <c r="ER19" s="33">
        <f t="shared" si="196"/>
        <v>871870.49277565163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0.63403194619514713</v>
      </c>
      <c r="EW19" s="32">
        <f t="shared" si="199"/>
        <v>4.6001688672415164E-2</v>
      </c>
      <c r="EX19" s="33">
        <f t="shared" si="200"/>
        <v>871870.49277565163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0.63403194619514713</v>
      </c>
      <c r="FC19" s="32">
        <f t="shared" si="203"/>
        <v>4.6001688672415164E-2</v>
      </c>
      <c r="FD19" s="33">
        <f t="shared" si="204"/>
        <v>871870.49277565163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0.63403194619514713</v>
      </c>
      <c r="FI19" s="32">
        <f t="shared" si="207"/>
        <v>4.6001688672415164E-2</v>
      </c>
      <c r="FJ19" s="33">
        <f t="shared" si="208"/>
        <v>871870.49277565163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0.63403194619514713</v>
      </c>
      <c r="FO19" s="32">
        <f t="shared" si="211"/>
        <v>4.6001688672415164E-2</v>
      </c>
      <c r="FP19" s="33">
        <f t="shared" si="212"/>
        <v>871870.49277565163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0.63403194619514713</v>
      </c>
      <c r="FU19" s="32">
        <f t="shared" si="215"/>
        <v>4.6001688672415164E-2</v>
      </c>
      <c r="FV19" s="33">
        <f t="shared" si="216"/>
        <v>871870.49277565163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0.63403194619514713</v>
      </c>
      <c r="GA19" s="32">
        <f t="shared" si="219"/>
        <v>4.6001688672415164E-2</v>
      </c>
      <c r="GB19" s="33">
        <f t="shared" si="220"/>
        <v>871870.49277565163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0.63403194619514713</v>
      </c>
      <c r="GG19" s="32">
        <f t="shared" si="223"/>
        <v>4.6001688672415164E-2</v>
      </c>
      <c r="GH19" s="33">
        <f t="shared" si="224"/>
        <v>871870.49277565163</v>
      </c>
      <c r="GI19" s="132">
        <f t="shared" si="225"/>
        <v>0</v>
      </c>
      <c r="GJ19" s="157">
        <f t="shared" si="228"/>
        <v>2752594.6122626085</v>
      </c>
      <c r="GK19" s="251">
        <f t="shared" si="226"/>
        <v>3012437.6883042185</v>
      </c>
      <c r="GL19" s="182">
        <f t="shared" si="227"/>
        <v>0.63403194619514713</v>
      </c>
    </row>
    <row r="20" spans="1:194" s="24" customFormat="1" ht="15.75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4874</v>
      </c>
      <c r="H20" s="30">
        <f>'Исходные данные'!D22</f>
        <v>4911575.58</v>
      </c>
      <c r="I20" s="31">
        <f>'Расчет КРП'!G18</f>
        <v>1.2554657633441455</v>
      </c>
      <c r="J20" s="117" t="s">
        <v>8</v>
      </c>
      <c r="K20" s="121">
        <f t="shared" si="104"/>
        <v>0.72805806683429641</v>
      </c>
      <c r="L20" s="78">
        <f t="shared" si="105"/>
        <v>791052.56254016666</v>
      </c>
      <c r="M20" s="74">
        <f t="shared" si="106"/>
        <v>0.84531823927112382</v>
      </c>
      <c r="N20" s="29" t="s">
        <v>8</v>
      </c>
      <c r="O20" s="32">
        <f t="shared" si="107"/>
        <v>-0.4949217447824818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0.84531823927112382</v>
      </c>
      <c r="U20" s="32">
        <f t="shared" si="111"/>
        <v>-0.39392037320540518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0.84531823927112382</v>
      </c>
      <c r="AA20" s="32">
        <f t="shared" si="115"/>
        <v>-0.28229499040090922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0.84531823927112382</v>
      </c>
      <c r="AG20" s="32">
        <f t="shared" si="119"/>
        <v>-0.17174848584661395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0.84531823927112382</v>
      </c>
      <c r="AM20" s="32">
        <f t="shared" si="123"/>
        <v>-0.16528460440356152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0.84531823927112382</v>
      </c>
      <c r="AS20" s="32">
        <f t="shared" si="127"/>
        <v>-0.16528460440356152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0.84531823927112382</v>
      </c>
      <c r="AY20" s="32">
        <f t="shared" si="131"/>
        <v>-0.16528460440356152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0.84531823927112382</v>
      </c>
      <c r="BE20" s="32">
        <f t="shared" si="135"/>
        <v>-0.16528460440356152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0.84531823927112382</v>
      </c>
      <c r="BK20" s="32">
        <f t="shared" si="139"/>
        <v>-0.16528460440356152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0.84531823927112382</v>
      </c>
      <c r="BQ20" s="32">
        <f t="shared" si="143"/>
        <v>-0.16528460440356152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0.84531823927112382</v>
      </c>
      <c r="BW20" s="32">
        <f t="shared" si="147"/>
        <v>-0.16528460440356152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0.84531823927112382</v>
      </c>
      <c r="CC20" s="32">
        <f t="shared" si="151"/>
        <v>-0.16528460440356152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0.84531823927112382</v>
      </c>
      <c r="CI20" s="32">
        <f t="shared" si="155"/>
        <v>-0.16528460440356152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0.84531823927112382</v>
      </c>
      <c r="CO20" s="32">
        <f t="shared" si="159"/>
        <v>-0.16528460440356152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0.84531823927112382</v>
      </c>
      <c r="CU20" s="32">
        <f t="shared" si="163"/>
        <v>-0.16528460440356152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0.84531823927112382</v>
      </c>
      <c r="DA20" s="32">
        <f t="shared" si="167"/>
        <v>-0.16528460440356152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0.84531823927112382</v>
      </c>
      <c r="DG20" s="32">
        <f t="shared" si="171"/>
        <v>-0.16528460440356152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0.84531823927112382</v>
      </c>
      <c r="DM20" s="32">
        <f t="shared" si="175"/>
        <v>-0.16528460440356152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0.84531823927112382</v>
      </c>
      <c r="DS20" s="32">
        <f t="shared" si="179"/>
        <v>-0.16528460440356152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0.84531823927112382</v>
      </c>
      <c r="DY20" s="32">
        <f t="shared" si="183"/>
        <v>-0.16528460440356152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0.84531823927112382</v>
      </c>
      <c r="EE20" s="32">
        <f t="shared" si="187"/>
        <v>-0.16528460440356152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0.84531823927112382</v>
      </c>
      <c r="EK20" s="32">
        <f t="shared" si="191"/>
        <v>-0.16528460440356152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0.84531823927112382</v>
      </c>
      <c r="EQ20" s="32">
        <f t="shared" si="195"/>
        <v>-0.16528460440356152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0.84531823927112382</v>
      </c>
      <c r="EW20" s="32">
        <f t="shared" si="199"/>
        <v>-0.16528460440356152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0.84531823927112382</v>
      </c>
      <c r="FC20" s="32">
        <f t="shared" si="203"/>
        <v>-0.16528460440356152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0.84531823927112382</v>
      </c>
      <c r="FI20" s="32">
        <f t="shared" si="207"/>
        <v>-0.16528460440356152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0.84531823927112382</v>
      </c>
      <c r="FO20" s="32">
        <f t="shared" si="211"/>
        <v>-0.16528460440356152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0.84531823927112382</v>
      </c>
      <c r="FU20" s="32">
        <f t="shared" si="215"/>
        <v>-0.16528460440356152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0.84531823927112382</v>
      </c>
      <c r="GA20" s="32">
        <f t="shared" si="219"/>
        <v>-0.16528460440356152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0.84531823927112382</v>
      </c>
      <c r="GG20" s="32">
        <f t="shared" si="223"/>
        <v>-0.16528460440356152</v>
      </c>
      <c r="GH20" s="33">
        <f t="shared" si="224"/>
        <v>0</v>
      </c>
      <c r="GI20" s="132">
        <f t="shared" si="225"/>
        <v>0</v>
      </c>
      <c r="GJ20" s="157">
        <f t="shared" si="228"/>
        <v>0</v>
      </c>
      <c r="GK20" s="251">
        <f t="shared" si="226"/>
        <v>791052.56254016666</v>
      </c>
      <c r="GL20" s="182">
        <f t="shared" si="227"/>
        <v>0.84531823927112371</v>
      </c>
    </row>
    <row r="21" spans="1:194" s="28" customFormat="1" ht="16.2" thickBot="1" x14ac:dyDescent="0.35">
      <c r="A21" s="105" t="s">
        <v>6</v>
      </c>
      <c r="B21" s="129">
        <v>29799992</v>
      </c>
      <c r="C21" s="178">
        <v>10</v>
      </c>
      <c r="D21" s="82">
        <f>B21*C21/100</f>
        <v>2979999.2</v>
      </c>
      <c r="E21" s="112">
        <f>100-C21</f>
        <v>90</v>
      </c>
      <c r="F21" s="82">
        <f>B21-D21</f>
        <v>26819992.800000001</v>
      </c>
      <c r="G21" s="111">
        <f>SUM(G9:G20)</f>
        <v>18361</v>
      </c>
      <c r="H21" s="111">
        <f>SUM(H9:H20)</f>
        <v>20242341.390000001</v>
      </c>
      <c r="I21" s="46" t="s">
        <v>8</v>
      </c>
      <c r="J21" s="164">
        <f>H21/G21</f>
        <v>1102.4639937911879</v>
      </c>
      <c r="K21" s="122" t="s">
        <v>8</v>
      </c>
      <c r="L21" s="79">
        <f>SUM(L9:L20)</f>
        <v>2979999.1999999997</v>
      </c>
      <c r="M21" s="75" t="s">
        <v>8</v>
      </c>
      <c r="N21" s="47">
        <f>(SUMIF(M9:M20,"&lt;1")+1)/(COUNTIFS(M9:M20,"&lt;1")+1)</f>
        <v>0.35039649448864202</v>
      </c>
      <c r="O21" s="48" t="s">
        <v>8</v>
      </c>
      <c r="P21" s="45">
        <f>SUM(P9:P20)</f>
        <v>7943247.6715237517</v>
      </c>
      <c r="Q21" s="45">
        <f>SUM(Q9:Q20)</f>
        <v>7943247.6715237517</v>
      </c>
      <c r="R21" s="84">
        <f>F21-Q21</f>
        <v>18876745.128476247</v>
      </c>
      <c r="S21" s="47">
        <f>(SUMIF(T9:T20,"&lt;1")+1)/(COUNTIFS(T9:T20,"&lt;1")+1)</f>
        <v>0.45139786606571863</v>
      </c>
      <c r="T21" s="48" t="s">
        <v>8</v>
      </c>
      <c r="U21" s="48" t="s">
        <v>8</v>
      </c>
      <c r="V21" s="45">
        <f>SUM(V9:V20)</f>
        <v>9278599.1309384573</v>
      </c>
      <c r="W21" s="45">
        <f>SUM(W9:W20)</f>
        <v>9278599.1309384573</v>
      </c>
      <c r="X21" s="84">
        <f>R21-W21</f>
        <v>9598145.9975377899</v>
      </c>
      <c r="Y21" s="47">
        <f>(SUMIF(Z9:Z20,"&lt;1")+1)/(COUNTIFS(Z9:Z20,"&lt;1")+1)</f>
        <v>0.5630232488702146</v>
      </c>
      <c r="Z21" s="48" t="s">
        <v>8</v>
      </c>
      <c r="AA21" s="48" t="s">
        <v>8</v>
      </c>
      <c r="AB21" s="45">
        <f>SUM(AB9:AB20)</f>
        <v>9060768.0329572894</v>
      </c>
      <c r="AC21" s="45">
        <f>SUM(AC9:AC20)</f>
        <v>9060768.0329572894</v>
      </c>
      <c r="AD21" s="84">
        <f>X21-AC21</f>
        <v>537377.9645805005</v>
      </c>
      <c r="AE21" s="47">
        <f>(SUMIF(AF9:AF20,"&lt;1")+1)/(COUNTIFS(AF9:AF20,"&lt;1")+1)</f>
        <v>0.67356975342450986</v>
      </c>
      <c r="AF21" s="48" t="s">
        <v>8</v>
      </c>
      <c r="AG21" s="48" t="s">
        <v>8</v>
      </c>
      <c r="AH21" s="45">
        <f>SUM(AH9:AH20)</f>
        <v>7791413.1057331059</v>
      </c>
      <c r="AI21" s="45">
        <f>SUM(AI9:AI20)</f>
        <v>537377.9645805005</v>
      </c>
      <c r="AJ21" s="84">
        <f>AD21-AI21</f>
        <v>0</v>
      </c>
      <c r="AK21" s="47">
        <f>(SUMIF(AL9:AL20,"&lt;1")+1)/(COUNTIFS(AL9:AL20,"&lt;1")+1)</f>
        <v>0.6800336348675623</v>
      </c>
      <c r="AL21" s="48" t="s">
        <v>8</v>
      </c>
      <c r="AM21" s="48" t="s">
        <v>8</v>
      </c>
      <c r="AN21" s="45">
        <f>SUM(AN9:AN20)</f>
        <v>7662251.3986666873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0.6800336348675623</v>
      </c>
      <c r="AR21" s="48" t="s">
        <v>8</v>
      </c>
      <c r="AS21" s="48" t="s">
        <v>8</v>
      </c>
      <c r="AT21" s="45">
        <f>SUM(AT9:AT20)</f>
        <v>7662251.3986666873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0.6800336348675623</v>
      </c>
      <c r="AX21" s="48" t="s">
        <v>8</v>
      </c>
      <c r="AY21" s="48" t="s">
        <v>8</v>
      </c>
      <c r="AZ21" s="45">
        <f>SUM(AZ9:AZ20)</f>
        <v>7662251.3986666873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0.6800336348675623</v>
      </c>
      <c r="BD21" s="48" t="s">
        <v>8</v>
      </c>
      <c r="BE21" s="48" t="s">
        <v>8</v>
      </c>
      <c r="BF21" s="45">
        <f>SUM(BF9:BF20)</f>
        <v>7662251.3986666873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0.6800336348675623</v>
      </c>
      <c r="BJ21" s="48" t="s">
        <v>8</v>
      </c>
      <c r="BK21" s="48" t="s">
        <v>8</v>
      </c>
      <c r="BL21" s="45">
        <f>SUM(BL9:BL20)</f>
        <v>7662251.3986666873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0.6800336348675623</v>
      </c>
      <c r="BP21" s="48" t="s">
        <v>8</v>
      </c>
      <c r="BQ21" s="48" t="s">
        <v>8</v>
      </c>
      <c r="BR21" s="45">
        <f>SUM(BR9:BR20)</f>
        <v>7662251.3986666873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0.6800336348675623</v>
      </c>
      <c r="BV21" s="48" t="s">
        <v>8</v>
      </c>
      <c r="BW21" s="48" t="s">
        <v>8</v>
      </c>
      <c r="BX21" s="45">
        <f>SUM(BX9:BX20)</f>
        <v>7662251.3986666873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0.6800336348675623</v>
      </c>
      <c r="CB21" s="48" t="s">
        <v>8</v>
      </c>
      <c r="CC21" s="48" t="s">
        <v>8</v>
      </c>
      <c r="CD21" s="45">
        <f>SUM(CD9:CD20)</f>
        <v>7662251.3986666873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0.6800336348675623</v>
      </c>
      <c r="CH21" s="48" t="s">
        <v>8</v>
      </c>
      <c r="CI21" s="48" t="s">
        <v>8</v>
      </c>
      <c r="CJ21" s="45">
        <f>SUM(CJ9:CJ20)</f>
        <v>7662251.3986666873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0.6800336348675623</v>
      </c>
      <c r="CN21" s="48" t="s">
        <v>8</v>
      </c>
      <c r="CO21" s="48" t="s">
        <v>8</v>
      </c>
      <c r="CP21" s="45">
        <f>SUM(CP9:CP20)</f>
        <v>7662251.3986666873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0.6800336348675623</v>
      </c>
      <c r="CT21" s="48" t="s">
        <v>8</v>
      </c>
      <c r="CU21" s="48" t="s">
        <v>8</v>
      </c>
      <c r="CV21" s="45">
        <f>SUM(CV9:CV20)</f>
        <v>7662251.3986666873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0.6800336348675623</v>
      </c>
      <c r="CZ21" s="48" t="s">
        <v>8</v>
      </c>
      <c r="DA21" s="48" t="s">
        <v>8</v>
      </c>
      <c r="DB21" s="45">
        <f>SUM(DB9:DB20)</f>
        <v>7662251.3986666873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0.6800336348675623</v>
      </c>
      <c r="DF21" s="48" t="s">
        <v>8</v>
      </c>
      <c r="DG21" s="48" t="s">
        <v>8</v>
      </c>
      <c r="DH21" s="45">
        <f>SUM(DH9:DH20)</f>
        <v>7662251.3986666873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0.6800336348675623</v>
      </c>
      <c r="DL21" s="48" t="s">
        <v>8</v>
      </c>
      <c r="DM21" s="48" t="s">
        <v>8</v>
      </c>
      <c r="DN21" s="45">
        <f>SUM(DN9:DN20)</f>
        <v>7662251.3986666873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0.6800336348675623</v>
      </c>
      <c r="DR21" s="48" t="s">
        <v>8</v>
      </c>
      <c r="DS21" s="48" t="s">
        <v>8</v>
      </c>
      <c r="DT21" s="45">
        <f>SUM(DT9:DT20)</f>
        <v>7662251.3986666873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0.6800336348675623</v>
      </c>
      <c r="DX21" s="48" t="s">
        <v>8</v>
      </c>
      <c r="DY21" s="48" t="s">
        <v>8</v>
      </c>
      <c r="DZ21" s="145">
        <f>SUM(DZ9:DZ20)</f>
        <v>7662251.3986666873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0.6800336348675623</v>
      </c>
      <c r="ED21" s="48" t="s">
        <v>8</v>
      </c>
      <c r="EE21" s="48" t="s">
        <v>8</v>
      </c>
      <c r="EF21" s="145">
        <f>SUM(EF9:EF20)</f>
        <v>7662251.3986666873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0.6800336348675623</v>
      </c>
      <c r="EJ21" s="48" t="s">
        <v>8</v>
      </c>
      <c r="EK21" s="48" t="s">
        <v>8</v>
      </c>
      <c r="EL21" s="145">
        <f>SUM(EL9:EL20)</f>
        <v>7662251.3986666873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0.6800336348675623</v>
      </c>
      <c r="EP21" s="48" t="s">
        <v>8</v>
      </c>
      <c r="EQ21" s="48" t="s">
        <v>8</v>
      </c>
      <c r="ER21" s="145">
        <f>SUM(ER9:ER20)</f>
        <v>7662251.3986666873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0.6800336348675623</v>
      </c>
      <c r="EV21" s="48" t="s">
        <v>8</v>
      </c>
      <c r="EW21" s="48" t="s">
        <v>8</v>
      </c>
      <c r="EX21" s="145">
        <f>SUM(EX9:EX20)</f>
        <v>7662251.3986666873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0.6800336348675623</v>
      </c>
      <c r="FB21" s="48" t="s">
        <v>8</v>
      </c>
      <c r="FC21" s="48" t="s">
        <v>8</v>
      </c>
      <c r="FD21" s="145">
        <f>SUM(FD9:FD20)</f>
        <v>7662251.3986666873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0.6800336348675623</v>
      </c>
      <c r="FH21" s="48" t="s">
        <v>8</v>
      </c>
      <c r="FI21" s="48" t="s">
        <v>8</v>
      </c>
      <c r="FJ21" s="145">
        <f>SUM(FJ9:FJ20)</f>
        <v>7662251.3986666873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0.6800336348675623</v>
      </c>
      <c r="FN21" s="48" t="s">
        <v>8</v>
      </c>
      <c r="FO21" s="48" t="s">
        <v>8</v>
      </c>
      <c r="FP21" s="145">
        <f>SUM(FP9:FP20)</f>
        <v>7662251.3986666873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0.6800336348675623</v>
      </c>
      <c r="FT21" s="48" t="s">
        <v>8</v>
      </c>
      <c r="FU21" s="48" t="s">
        <v>8</v>
      </c>
      <c r="FV21" s="145">
        <f>SUM(FV9:FV20)</f>
        <v>7662251.3986666873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0.6800336348675623</v>
      </c>
      <c r="FZ21" s="48" t="s">
        <v>8</v>
      </c>
      <c r="GA21" s="48" t="s">
        <v>8</v>
      </c>
      <c r="GB21" s="145">
        <f>SUM(GB9:GB20)</f>
        <v>7662251.3986666873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0.6800336348675623</v>
      </c>
      <c r="GF21" s="48" t="s">
        <v>8</v>
      </c>
      <c r="GG21" s="48" t="s">
        <v>8</v>
      </c>
      <c r="GH21" s="145">
        <f>SUM(GH9:GH20)</f>
        <v>7662251.3986666873</v>
      </c>
      <c r="GI21" s="45">
        <f>SUM(GI9:GI20)</f>
        <v>0</v>
      </c>
      <c r="GJ21" s="170">
        <f>SUM(GJ9:GJ20)</f>
        <v>26819992.799999997</v>
      </c>
      <c r="GK21" s="184">
        <f t="shared" si="226"/>
        <v>29799991.999999996</v>
      </c>
      <c r="GL21" s="183" t="s">
        <v>8</v>
      </c>
    </row>
    <row r="23" spans="1:194" x14ac:dyDescent="0.25">
      <c r="P23" s="23"/>
    </row>
    <row r="24" spans="1:194" x14ac:dyDescent="0.25">
      <c r="AQ24" s="133"/>
    </row>
    <row r="25" spans="1:194" x14ac:dyDescent="0.25">
      <c r="AQ25" s="133"/>
      <c r="GJ25" s="133"/>
      <c r="GK25" s="133"/>
    </row>
    <row r="26" spans="1:194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2023-11-13T10:22:52Z</cp:lastPrinted>
  <dcterms:created xsi:type="dcterms:W3CDTF">2013-11-15T09:40:24Z</dcterms:created>
  <dcterms:modified xsi:type="dcterms:W3CDTF">2023-11-13T10:22:54Z</dcterms:modified>
</cp:coreProperties>
</file>